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akalashvili\Desktop\M2\PR\მესტია - სასტუმრო მესტია სეტის ტენდერი\"/>
    </mc:Choice>
  </mc:AlternateContent>
  <xr:revisionPtr revIDLastSave="0" documentId="13_ncr:1_{5DDC6FCD-65DC-474E-B02C-25ACF5329299}" xr6:coauthVersionLast="47" xr6:coauthVersionMax="47" xr10:uidLastSave="{00000000-0000-0000-0000-000000000000}"/>
  <bookViews>
    <workbookView xWindow="-120" yWindow="-120" windowWidth="29040" windowHeight="15840" tabRatio="807" xr2:uid="{8ED1006C-D219-49E1-8896-D0583D17429B}"/>
  </bookViews>
  <sheets>
    <sheet name="კრებსითი" sheetId="9" r:id="rId1"/>
    <sheet name="სამშენებლო სამუშაოები" sheetId="2" r:id="rId2"/>
    <sheet name="კანალიზაცია" sheetId="3" r:id="rId3"/>
    <sheet name="შიდა წყალსადენი" sheetId="4" r:id="rId4"/>
    <sheet name="ელ.სამუშაოები" sheetId="6" r:id="rId5"/>
    <sheet name="სუსტი დენები" sheetId="5" r:id="rId6"/>
    <sheet name="ხანძარქრობა" sheetId="14" r:id="rId7"/>
    <sheet name="გათბობა-გაგრილება" sheetId="10" r:id="rId8"/>
    <sheet name="ვენტილაცია" sheetId="11" r:id="rId9"/>
  </sheets>
  <definedNames>
    <definedName name="_xlnm._FilterDatabase" localSheetId="7" hidden="1">'გათბობა-გაგრილება'!$A$6:$M$6</definedName>
    <definedName name="_xlnm._FilterDatabase" localSheetId="4" hidden="1">ელ.სამუშაოები!$A$7:$K$7</definedName>
    <definedName name="_xlnm._FilterDatabase" localSheetId="8" hidden="1">ვენტილაცია!$A$6:$M$6</definedName>
    <definedName name="_xlnm._FilterDatabase" localSheetId="2" hidden="1">კანალიზაცია!$A$6:$M$6</definedName>
    <definedName name="_xlnm._FilterDatabase" localSheetId="1" hidden="1">'სამშენებლო სამუშაოები'!$A$6:$M$259</definedName>
    <definedName name="_xlnm._FilterDatabase" localSheetId="3" hidden="1">'შიდა წყალსადენი'!$A$6:$M$6</definedName>
    <definedName name="_xlnm._FilterDatabase" localSheetId="6" hidden="1">ხანძარქრობა!$A$7:$M$7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9" l="1"/>
  <c r="M216" i="11"/>
  <c r="C13" i="9"/>
  <c r="C12" i="9"/>
  <c r="C11" i="9"/>
  <c r="C10" i="9"/>
  <c r="C9" i="9"/>
  <c r="C8" i="9"/>
  <c r="K323" i="6"/>
  <c r="M271" i="2"/>
  <c r="J28" i="11" l="1"/>
  <c r="J29" i="11"/>
  <c r="J30" i="11"/>
  <c r="J31" i="11"/>
  <c r="J32" i="11"/>
  <c r="J33" i="11"/>
  <c r="J120" i="11"/>
  <c r="J121" i="11"/>
  <c r="J122" i="11"/>
  <c r="J123" i="11"/>
  <c r="J124" i="11"/>
  <c r="J125" i="11"/>
  <c r="J126" i="11"/>
  <c r="F213" i="2"/>
  <c r="F197" i="2"/>
  <c r="H197" i="2" s="1"/>
  <c r="M197" i="2" s="1"/>
  <c r="F194" i="2"/>
  <c r="H194" i="2" s="1"/>
  <c r="M194" i="2" s="1"/>
  <c r="F58" i="2"/>
  <c r="L58" i="2" s="1"/>
  <c r="M58" i="2" s="1"/>
  <c r="F57" i="2"/>
  <c r="J57" i="2" s="1"/>
  <c r="M57" i="2" s="1"/>
  <c r="F53" i="2"/>
  <c r="F49" i="2" s="1"/>
  <c r="F192" i="2" l="1"/>
  <c r="H192" i="2" s="1"/>
  <c r="M192" i="2" s="1"/>
  <c r="F187" i="2"/>
  <c r="J187" i="2" s="1"/>
  <c r="M187" i="2" s="1"/>
  <c r="F195" i="2"/>
  <c r="H195" i="2" s="1"/>
  <c r="M195" i="2" s="1"/>
  <c r="F190" i="2"/>
  <c r="H190" i="2" s="1"/>
  <c r="M190" i="2" s="1"/>
  <c r="F198" i="2"/>
  <c r="H198" i="2" s="1"/>
  <c r="M198" i="2" s="1"/>
  <c r="F193" i="2"/>
  <c r="H193" i="2" s="1"/>
  <c r="M193" i="2" s="1"/>
  <c r="F188" i="2"/>
  <c r="L188" i="2" s="1"/>
  <c r="M188" i="2" s="1"/>
  <c r="F196" i="2"/>
  <c r="H196" i="2" s="1"/>
  <c r="M196" i="2" s="1"/>
  <c r="F191" i="2"/>
  <c r="H191" i="2" s="1"/>
  <c r="M191" i="2" s="1"/>
  <c r="F199" i="2"/>
  <c r="H199" i="2" s="1"/>
  <c r="M199" i="2" s="1"/>
  <c r="F189" i="2"/>
  <c r="H189" i="2" s="1"/>
  <c r="M189" i="2" s="1"/>
  <c r="F200" i="2"/>
  <c r="H200" i="2" s="1"/>
  <c r="M200" i="2" s="1"/>
  <c r="F139" i="2" l="1"/>
  <c r="F151" i="2"/>
  <c r="F165" i="2"/>
  <c r="F166" i="2" s="1"/>
  <c r="J166" i="2" s="1"/>
  <c r="M166" i="2" s="1"/>
  <c r="F168" i="2" l="1"/>
  <c r="H168" i="2" s="1"/>
  <c r="F170" i="2"/>
  <c r="H170" i="2" s="1"/>
  <c r="M170" i="2" s="1"/>
  <c r="F169" i="2"/>
  <c r="H169" i="2" s="1"/>
  <c r="M169" i="2" s="1"/>
  <c r="F167" i="2"/>
  <c r="L167" i="2" s="1"/>
  <c r="M167" i="2" s="1"/>
  <c r="L168" i="2" l="1"/>
  <c r="M168" i="2" s="1"/>
  <c r="F87" i="2" l="1"/>
  <c r="F101" i="2"/>
  <c r="F73" i="2"/>
  <c r="F71" i="2"/>
  <c r="F67" i="2"/>
  <c r="F60" i="2"/>
  <c r="F145" i="2"/>
  <c r="F141" i="2"/>
  <c r="L141" i="2" s="1"/>
  <c r="M141" i="2" s="1"/>
  <c r="F147" i="2" l="1"/>
  <c r="L147" i="2" s="1"/>
  <c r="M147" i="2" s="1"/>
  <c r="F146" i="2"/>
  <c r="F148" i="2"/>
  <c r="H148" i="2" s="1"/>
  <c r="F150" i="2"/>
  <c r="H150" i="2" s="1"/>
  <c r="M150" i="2" s="1"/>
  <c r="L148" i="2" l="1"/>
  <c r="M148" i="2" s="1"/>
  <c r="J146" i="2"/>
  <c r="M146" i="2" s="1"/>
  <c r="F149" i="2"/>
  <c r="L149" i="2" l="1"/>
  <c r="H149" i="2"/>
  <c r="M149" i="2" l="1"/>
  <c r="F152" i="14" l="1"/>
  <c r="H152" i="14" s="1"/>
  <c r="M152" i="14" s="1"/>
  <c r="F151" i="14"/>
  <c r="H151" i="14" s="1"/>
  <c r="M151" i="14" s="1"/>
  <c r="F150" i="14"/>
  <c r="L150" i="14" s="1"/>
  <c r="M150" i="14" s="1"/>
  <c r="F149" i="14"/>
  <c r="J149" i="14" s="1"/>
  <c r="M149" i="14" s="1"/>
  <c r="H139" i="14"/>
  <c r="M139" i="14" s="1"/>
  <c r="F146" i="14"/>
  <c r="H146" i="14" s="1"/>
  <c r="M146" i="14" s="1"/>
  <c r="F145" i="14"/>
  <c r="H145" i="14" s="1"/>
  <c r="M145" i="14" s="1"/>
  <c r="F144" i="14"/>
  <c r="H144" i="14" s="1"/>
  <c r="M144" i="14" s="1"/>
  <c r="F147" i="14"/>
  <c r="H147" i="14" s="1"/>
  <c r="M147" i="14" s="1"/>
  <c r="F133" i="14"/>
  <c r="F135" i="14" s="1"/>
  <c r="L135" i="14" s="1"/>
  <c r="M135" i="14" s="1"/>
  <c r="H137" i="14"/>
  <c r="M137" i="14" s="1"/>
  <c r="F142" i="14" l="1"/>
  <c r="J142" i="14" s="1"/>
  <c r="M142" i="14" s="1"/>
  <c r="F143" i="14"/>
  <c r="L143" i="14" s="1"/>
  <c r="M143" i="14" s="1"/>
  <c r="F140" i="14"/>
  <c r="H140" i="14" s="1"/>
  <c r="M140" i="14" s="1"/>
  <c r="F134" i="14"/>
  <c r="J134" i="14" s="1"/>
  <c r="M134" i="14" s="1"/>
  <c r="H138" i="14"/>
  <c r="M138" i="14" s="1"/>
  <c r="H136" i="14"/>
  <c r="M136" i="14" s="1"/>
  <c r="E101" i="14"/>
  <c r="F101" i="14" s="1"/>
  <c r="H101" i="14" s="1"/>
  <c r="F131" i="14"/>
  <c r="H131" i="14" s="1"/>
  <c r="M131" i="14" s="1"/>
  <c r="F130" i="14"/>
  <c r="F129" i="14"/>
  <c r="L129" i="14" s="1"/>
  <c r="M129" i="14" s="1"/>
  <c r="F128" i="14"/>
  <c r="J128" i="14" s="1"/>
  <c r="M128" i="14" s="1"/>
  <c r="F126" i="14"/>
  <c r="H126" i="14" s="1"/>
  <c r="M126" i="14" s="1"/>
  <c r="F125" i="14"/>
  <c r="F124" i="14"/>
  <c r="L124" i="14" s="1"/>
  <c r="M124" i="14" s="1"/>
  <c r="F123" i="14"/>
  <c r="J123" i="14" s="1"/>
  <c r="M123" i="14" s="1"/>
  <c r="F121" i="14"/>
  <c r="H121" i="14" s="1"/>
  <c r="M121" i="14" s="1"/>
  <c r="F120" i="14"/>
  <c r="F119" i="14"/>
  <c r="L119" i="14" s="1"/>
  <c r="M119" i="14" s="1"/>
  <c r="F118" i="14"/>
  <c r="J118" i="14" s="1"/>
  <c r="M118" i="14" s="1"/>
  <c r="F116" i="14"/>
  <c r="H116" i="14" s="1"/>
  <c r="M116" i="14" s="1"/>
  <c r="F115" i="14"/>
  <c r="F114" i="14"/>
  <c r="L114" i="14" s="1"/>
  <c r="M114" i="14" s="1"/>
  <c r="F113" i="14"/>
  <c r="J113" i="14" s="1"/>
  <c r="M113" i="14" s="1"/>
  <c r="F111" i="14"/>
  <c r="H111" i="14" s="1"/>
  <c r="M111" i="14" s="1"/>
  <c r="F110" i="14"/>
  <c r="F109" i="14"/>
  <c r="L109" i="14" s="1"/>
  <c r="M109" i="14" s="1"/>
  <c r="F108" i="14"/>
  <c r="J108" i="14" s="1"/>
  <c r="M108" i="14" s="1"/>
  <c r="F106" i="14"/>
  <c r="H106" i="14" s="1"/>
  <c r="M106" i="14" s="1"/>
  <c r="F105" i="14"/>
  <c r="F104" i="14"/>
  <c r="L104" i="14" s="1"/>
  <c r="M104" i="14" s="1"/>
  <c r="F103" i="14"/>
  <c r="J103" i="14" s="1"/>
  <c r="M103" i="14" s="1"/>
  <c r="F99" i="14"/>
  <c r="F100" i="14"/>
  <c r="H100" i="14" s="1"/>
  <c r="M100" i="14" s="1"/>
  <c r="F98" i="14"/>
  <c r="L98" i="14" s="1"/>
  <c r="M98" i="14" s="1"/>
  <c r="F97" i="14"/>
  <c r="J97" i="14" s="1"/>
  <c r="M97" i="14" s="1"/>
  <c r="F95" i="14"/>
  <c r="H95" i="14" s="1"/>
  <c r="M95" i="14" s="1"/>
  <c r="F94" i="14"/>
  <c r="J94" i="14" s="1"/>
  <c r="F93" i="14"/>
  <c r="L93" i="14" s="1"/>
  <c r="F92" i="14"/>
  <c r="H92" i="14" s="1"/>
  <c r="F91" i="14"/>
  <c r="J91" i="14" s="1"/>
  <c r="F90" i="14"/>
  <c r="H90" i="14" s="1"/>
  <c r="M90" i="14" s="1"/>
  <c r="F89" i="14"/>
  <c r="L89" i="14" s="1"/>
  <c r="M89" i="14" s="1"/>
  <c r="F88" i="14"/>
  <c r="J88" i="14" s="1"/>
  <c r="M88" i="14" s="1"/>
  <c r="F85" i="14"/>
  <c r="F84" i="14"/>
  <c r="F83" i="14"/>
  <c r="F82" i="14"/>
  <c r="L82" i="14" s="1"/>
  <c r="F73" i="14"/>
  <c r="F74" i="14"/>
  <c r="F75" i="14"/>
  <c r="F76" i="14"/>
  <c r="F86" i="14"/>
  <c r="H86" i="14" s="1"/>
  <c r="M86" i="14" s="1"/>
  <c r="F81" i="14"/>
  <c r="H81" i="14" s="1"/>
  <c r="M81" i="14" s="1"/>
  <c r="F80" i="14"/>
  <c r="L80" i="14" s="1"/>
  <c r="M80" i="14" s="1"/>
  <c r="F79" i="14"/>
  <c r="J79" i="14" s="1"/>
  <c r="M79" i="14" s="1"/>
  <c r="F77" i="14"/>
  <c r="H77" i="14" s="1"/>
  <c r="M77" i="14" s="1"/>
  <c r="F72" i="14"/>
  <c r="H72" i="14" s="1"/>
  <c r="M72" i="14" s="1"/>
  <c r="F71" i="14"/>
  <c r="L71" i="14" s="1"/>
  <c r="M71" i="14" s="1"/>
  <c r="F70" i="14"/>
  <c r="J70" i="14" s="1"/>
  <c r="M70" i="14" s="1"/>
  <c r="F68" i="14"/>
  <c r="H68" i="14" s="1"/>
  <c r="M68" i="14" s="1"/>
  <c r="F67" i="14"/>
  <c r="H67" i="14" s="1"/>
  <c r="M67" i="14" s="1"/>
  <c r="F66" i="14"/>
  <c r="L66" i="14" s="1"/>
  <c r="M66" i="14" s="1"/>
  <c r="F65" i="14"/>
  <c r="J65" i="14" s="1"/>
  <c r="M65" i="14" s="1"/>
  <c r="F63" i="14"/>
  <c r="H63" i="14" s="1"/>
  <c r="M63" i="14" s="1"/>
  <c r="F62" i="14"/>
  <c r="H62" i="14" s="1"/>
  <c r="M62" i="14" s="1"/>
  <c r="F61" i="14"/>
  <c r="L61" i="14" s="1"/>
  <c r="M61" i="14" s="1"/>
  <c r="F60" i="14"/>
  <c r="J60" i="14" s="1"/>
  <c r="M60" i="14" s="1"/>
  <c r="F58" i="14"/>
  <c r="H58" i="14" s="1"/>
  <c r="M58" i="14" s="1"/>
  <c r="F57" i="14"/>
  <c r="H57" i="14" s="1"/>
  <c r="M57" i="14" s="1"/>
  <c r="F56" i="14"/>
  <c r="L56" i="14" s="1"/>
  <c r="M56" i="14" s="1"/>
  <c r="F55" i="14"/>
  <c r="J55" i="14" s="1"/>
  <c r="M55" i="14" s="1"/>
  <c r="F53" i="14"/>
  <c r="H53" i="14" s="1"/>
  <c r="M53" i="14" s="1"/>
  <c r="F52" i="14"/>
  <c r="H52" i="14" s="1"/>
  <c r="M52" i="14" s="1"/>
  <c r="F51" i="14"/>
  <c r="L51" i="14" s="1"/>
  <c r="M51" i="14" s="1"/>
  <c r="F50" i="14"/>
  <c r="J50" i="14" s="1"/>
  <c r="M50" i="14" s="1"/>
  <c r="F48" i="14"/>
  <c r="H48" i="14" s="1"/>
  <c r="M48" i="14" s="1"/>
  <c r="F47" i="14"/>
  <c r="H47" i="14" s="1"/>
  <c r="M47" i="14" s="1"/>
  <c r="F46" i="14"/>
  <c r="L46" i="14" s="1"/>
  <c r="M46" i="14" s="1"/>
  <c r="F45" i="14"/>
  <c r="J45" i="14" s="1"/>
  <c r="M45" i="14" s="1"/>
  <c r="F43" i="14"/>
  <c r="H43" i="14" s="1"/>
  <c r="M43" i="14" s="1"/>
  <c r="F42" i="14"/>
  <c r="H42" i="14" s="1"/>
  <c r="M42" i="14" s="1"/>
  <c r="F41" i="14"/>
  <c r="L41" i="14" s="1"/>
  <c r="M41" i="14" s="1"/>
  <c r="F40" i="14"/>
  <c r="J40" i="14" s="1"/>
  <c r="M40" i="14" s="1"/>
  <c r="F38" i="14"/>
  <c r="H38" i="14" s="1"/>
  <c r="M38" i="14" s="1"/>
  <c r="F37" i="14"/>
  <c r="H37" i="14" s="1"/>
  <c r="M37" i="14" s="1"/>
  <c r="F36" i="14"/>
  <c r="L36" i="14" s="1"/>
  <c r="M36" i="14" s="1"/>
  <c r="F35" i="14"/>
  <c r="J35" i="14" s="1"/>
  <c r="M35" i="14" s="1"/>
  <c r="F33" i="14"/>
  <c r="H33" i="14" s="1"/>
  <c r="M33" i="14" s="1"/>
  <c r="F32" i="14"/>
  <c r="H32" i="14" s="1"/>
  <c r="M32" i="14" s="1"/>
  <c r="F31" i="14"/>
  <c r="L31" i="14" s="1"/>
  <c r="M31" i="14" s="1"/>
  <c r="F30" i="14"/>
  <c r="J30" i="14" s="1"/>
  <c r="M30" i="14" s="1"/>
  <c r="F28" i="14"/>
  <c r="H28" i="14" s="1"/>
  <c r="M28" i="14" s="1"/>
  <c r="F27" i="14"/>
  <c r="H27" i="14" s="1"/>
  <c r="M27" i="14" s="1"/>
  <c r="F26" i="14"/>
  <c r="L26" i="14" s="1"/>
  <c r="M26" i="14" s="1"/>
  <c r="F25" i="14"/>
  <c r="J25" i="14" s="1"/>
  <c r="M25" i="14" s="1"/>
  <c r="F23" i="14"/>
  <c r="H23" i="14" s="1"/>
  <c r="M23" i="14" s="1"/>
  <c r="F22" i="14"/>
  <c r="H22" i="14" s="1"/>
  <c r="M22" i="14" s="1"/>
  <c r="F21" i="14"/>
  <c r="L21" i="14" s="1"/>
  <c r="M21" i="14" s="1"/>
  <c r="F20" i="14"/>
  <c r="J20" i="14" s="1"/>
  <c r="M20" i="14" s="1"/>
  <c r="M101" i="14" l="1"/>
  <c r="H130" i="14"/>
  <c r="M130" i="14" s="1"/>
  <c r="H120" i="14"/>
  <c r="M120" i="14" s="1"/>
  <c r="H125" i="14"/>
  <c r="M125" i="14" s="1"/>
  <c r="H115" i="14"/>
  <c r="M115" i="14" s="1"/>
  <c r="H110" i="14"/>
  <c r="M110" i="14" s="1"/>
  <c r="H105" i="14"/>
  <c r="L94" i="14"/>
  <c r="H94" i="14"/>
  <c r="J92" i="14"/>
  <c r="L92" i="14"/>
  <c r="H99" i="14"/>
  <c r="M99" i="14" s="1"/>
  <c r="H91" i="14"/>
  <c r="L91" i="14"/>
  <c r="H93" i="14"/>
  <c r="J93" i="14"/>
  <c r="H82" i="14"/>
  <c r="J82" i="14"/>
  <c r="F12" i="14"/>
  <c r="H12" i="14" s="1"/>
  <c r="M12" i="14" s="1"/>
  <c r="F18" i="14"/>
  <c r="H18" i="14" s="1"/>
  <c r="M18" i="14" s="1"/>
  <c r="F17" i="14"/>
  <c r="H17" i="14" s="1"/>
  <c r="M17" i="14" s="1"/>
  <c r="F16" i="14"/>
  <c r="L16" i="14" s="1"/>
  <c r="M16" i="14" s="1"/>
  <c r="F15" i="14"/>
  <c r="J15" i="14" s="1"/>
  <c r="M15" i="14" s="1"/>
  <c r="F13" i="14"/>
  <c r="H13" i="14" s="1"/>
  <c r="M13" i="14" s="1"/>
  <c r="F11" i="14"/>
  <c r="L11" i="14" s="1"/>
  <c r="F10" i="14"/>
  <c r="J10" i="14" s="1"/>
  <c r="F194" i="11"/>
  <c r="F195" i="11" s="1"/>
  <c r="H203" i="11"/>
  <c r="M203" i="11" s="1"/>
  <c r="H202" i="11"/>
  <c r="M202" i="11" s="1"/>
  <c r="H201" i="11"/>
  <c r="M201" i="11" s="1"/>
  <c r="H200" i="11"/>
  <c r="M200" i="11" s="1"/>
  <c r="H199" i="11"/>
  <c r="M199" i="11" s="1"/>
  <c r="H198" i="11"/>
  <c r="M198" i="11" s="1"/>
  <c r="H197" i="11"/>
  <c r="M197" i="11" s="1"/>
  <c r="F196" i="11"/>
  <c r="L196" i="11" s="1"/>
  <c r="M196" i="11" s="1"/>
  <c r="H193" i="11"/>
  <c r="M193" i="11" s="1"/>
  <c r="H192" i="11"/>
  <c r="M192" i="11" s="1"/>
  <c r="H191" i="11"/>
  <c r="M191" i="11" s="1"/>
  <c r="H190" i="11"/>
  <c r="M190" i="11" s="1"/>
  <c r="H189" i="11"/>
  <c r="M189" i="11" s="1"/>
  <c r="H188" i="11"/>
  <c r="M188" i="11" s="1"/>
  <c r="H187" i="11"/>
  <c r="M187" i="11" s="1"/>
  <c r="H186" i="11"/>
  <c r="M186" i="11" s="1"/>
  <c r="H185" i="11"/>
  <c r="M185" i="11" s="1"/>
  <c r="F173" i="11"/>
  <c r="J195" i="11" l="1"/>
  <c r="M195" i="11" s="1"/>
  <c r="M105" i="14"/>
  <c r="H132" i="14"/>
  <c r="M132" i="14" s="1"/>
  <c r="M94" i="14"/>
  <c r="M92" i="14"/>
  <c r="M93" i="14"/>
  <c r="M91" i="14"/>
  <c r="M82" i="14"/>
  <c r="H75" i="14"/>
  <c r="L75" i="14"/>
  <c r="J75" i="14"/>
  <c r="H74" i="14"/>
  <c r="L74" i="14"/>
  <c r="J74" i="14"/>
  <c r="J73" i="14"/>
  <c r="H73" i="14"/>
  <c r="L73" i="14"/>
  <c r="J83" i="14"/>
  <c r="H83" i="14"/>
  <c r="L83" i="14"/>
  <c r="L84" i="14"/>
  <c r="J84" i="14"/>
  <c r="H84" i="14"/>
  <c r="M11" i="14"/>
  <c r="M10" i="14"/>
  <c r="F204" i="11"/>
  <c r="H204" i="11" s="1"/>
  <c r="M204" i="11" s="1"/>
  <c r="M74" i="14" l="1"/>
  <c r="L85" i="14"/>
  <c r="J85" i="14"/>
  <c r="H85" i="14"/>
  <c r="M73" i="14"/>
  <c r="M84" i="14"/>
  <c r="H76" i="14"/>
  <c r="L76" i="14"/>
  <c r="J76" i="14"/>
  <c r="M75" i="14"/>
  <c r="M83" i="14"/>
  <c r="L154" i="14" l="1"/>
  <c r="J154" i="14"/>
  <c r="M76" i="14"/>
  <c r="M85" i="14"/>
  <c r="H154" i="14" l="1"/>
  <c r="H155" i="14" s="1"/>
  <c r="M155" i="14" s="1"/>
  <c r="M154" i="14"/>
  <c r="M156" i="14" l="1"/>
  <c r="M157" i="14" s="1"/>
  <c r="M158" i="14" s="1"/>
  <c r="M159" i="14" s="1"/>
  <c r="M160" i="14" s="1"/>
  <c r="M161" i="14" s="1"/>
  <c r="M162" i="14" s="1"/>
  <c r="M163" i="14" s="1"/>
  <c r="M164" i="14" s="1"/>
  <c r="F174" i="11" l="1"/>
  <c r="H183" i="11"/>
  <c r="M183" i="11" s="1"/>
  <c r="H182" i="11"/>
  <c r="M182" i="11" s="1"/>
  <c r="H181" i="11"/>
  <c r="M181" i="11" s="1"/>
  <c r="H180" i="11"/>
  <c r="M180" i="11" s="1"/>
  <c r="H179" i="11"/>
  <c r="M179" i="11" s="1"/>
  <c r="H178" i="11"/>
  <c r="M178" i="11" s="1"/>
  <c r="H177" i="11"/>
  <c r="M177" i="11" s="1"/>
  <c r="H176" i="11"/>
  <c r="M176" i="11" s="1"/>
  <c r="J174" i="11" l="1"/>
  <c r="M174" i="11" s="1"/>
  <c r="F184" i="11"/>
  <c r="H184" i="11" s="1"/>
  <c r="M184" i="11" s="1"/>
  <c r="F175" i="11"/>
  <c r="L175" i="11" s="1"/>
  <c r="M175" i="11" s="1"/>
  <c r="H121" i="11" l="1"/>
  <c r="H122" i="11"/>
  <c r="H123" i="11"/>
  <c r="H124" i="11"/>
  <c r="H125" i="11"/>
  <c r="H126" i="11"/>
  <c r="H120" i="11"/>
  <c r="F172" i="11"/>
  <c r="H172" i="11" s="1"/>
  <c r="M172" i="11" s="1"/>
  <c r="H171" i="11"/>
  <c r="M171" i="11" s="1"/>
  <c r="F170" i="11"/>
  <c r="L170" i="11" s="1"/>
  <c r="M170" i="11" s="1"/>
  <c r="F169" i="11"/>
  <c r="F167" i="11"/>
  <c r="H167" i="11" s="1"/>
  <c r="M167" i="11" s="1"/>
  <c r="H166" i="11"/>
  <c r="M166" i="11" s="1"/>
  <c r="F165" i="11"/>
  <c r="L165" i="11" s="1"/>
  <c r="M165" i="11" s="1"/>
  <c r="F164" i="11"/>
  <c r="F162" i="11"/>
  <c r="H162" i="11" s="1"/>
  <c r="M162" i="11" s="1"/>
  <c r="H161" i="11"/>
  <c r="M161" i="11" s="1"/>
  <c r="F160" i="11"/>
  <c r="L160" i="11" s="1"/>
  <c r="M160" i="11" s="1"/>
  <c r="F159" i="11"/>
  <c r="F157" i="11"/>
  <c r="H157" i="11" s="1"/>
  <c r="M157" i="11" s="1"/>
  <c r="H156" i="11"/>
  <c r="M156" i="11" s="1"/>
  <c r="F155" i="11"/>
  <c r="L155" i="11" s="1"/>
  <c r="M155" i="11" s="1"/>
  <c r="F154" i="11"/>
  <c r="F152" i="11"/>
  <c r="H152" i="11" s="1"/>
  <c r="M152" i="11" s="1"/>
  <c r="H151" i="11"/>
  <c r="M151" i="11" s="1"/>
  <c r="F150" i="11"/>
  <c r="L150" i="11" s="1"/>
  <c r="M150" i="11" s="1"/>
  <c r="F149" i="11"/>
  <c r="F147" i="11"/>
  <c r="H147" i="11" s="1"/>
  <c r="M147" i="11" s="1"/>
  <c r="H146" i="11"/>
  <c r="M146" i="11" s="1"/>
  <c r="F145" i="11"/>
  <c r="L145" i="11" s="1"/>
  <c r="M145" i="11" s="1"/>
  <c r="F144" i="11"/>
  <c r="F142" i="11"/>
  <c r="H142" i="11" s="1"/>
  <c r="M142" i="11" s="1"/>
  <c r="H141" i="11"/>
  <c r="M141" i="11" s="1"/>
  <c r="F140" i="11"/>
  <c r="L140" i="11" s="1"/>
  <c r="M140" i="11" s="1"/>
  <c r="F139" i="11"/>
  <c r="J139" i="11" s="1"/>
  <c r="F137" i="11"/>
  <c r="H137" i="11" s="1"/>
  <c r="M137" i="11" s="1"/>
  <c r="F136" i="11"/>
  <c r="H136" i="11" s="1"/>
  <c r="M136" i="11" s="1"/>
  <c r="F135" i="11"/>
  <c r="L135" i="11" s="1"/>
  <c r="M135" i="11" s="1"/>
  <c r="F134" i="11"/>
  <c r="F132" i="11"/>
  <c r="H132" i="11" s="1"/>
  <c r="M132" i="11" s="1"/>
  <c r="F131" i="11"/>
  <c r="H131" i="11" s="1"/>
  <c r="M131" i="11" s="1"/>
  <c r="F130" i="11"/>
  <c r="L130" i="11" s="1"/>
  <c r="M130" i="11" s="1"/>
  <c r="F129" i="11"/>
  <c r="F119" i="11"/>
  <c r="H119" i="11" s="1"/>
  <c r="M119" i="11" s="1"/>
  <c r="F118" i="11"/>
  <c r="H118" i="11" s="1"/>
  <c r="M118" i="11" s="1"/>
  <c r="F117" i="11"/>
  <c r="L117" i="11" s="1"/>
  <c r="M117" i="11" s="1"/>
  <c r="F116" i="11"/>
  <c r="F114" i="11"/>
  <c r="H114" i="11" s="1"/>
  <c r="M114" i="11" s="1"/>
  <c r="F113" i="11"/>
  <c r="H113" i="11" s="1"/>
  <c r="M113" i="11" s="1"/>
  <c r="F112" i="11"/>
  <c r="L112" i="11" s="1"/>
  <c r="M112" i="11" s="1"/>
  <c r="F111" i="11"/>
  <c r="F101" i="11"/>
  <c r="J101" i="11" s="1"/>
  <c r="F94" i="11"/>
  <c r="H94" i="11" s="1"/>
  <c r="M94" i="11" s="1"/>
  <c r="F99" i="11"/>
  <c r="H99" i="11" s="1"/>
  <c r="M99" i="11" s="1"/>
  <c r="F104" i="11"/>
  <c r="H104" i="11" s="1"/>
  <c r="M104" i="11" s="1"/>
  <c r="F109" i="11"/>
  <c r="H109" i="11" s="1"/>
  <c r="M109" i="11" s="1"/>
  <c r="F108" i="11"/>
  <c r="H108" i="11" s="1"/>
  <c r="M108" i="11" s="1"/>
  <c r="F107" i="11"/>
  <c r="L107" i="11" s="1"/>
  <c r="M107" i="11" s="1"/>
  <c r="F106" i="11"/>
  <c r="H103" i="11"/>
  <c r="M103" i="11" s="1"/>
  <c r="F102" i="11"/>
  <c r="L102" i="11" s="1"/>
  <c r="M102" i="11" s="1"/>
  <c r="H98" i="11"/>
  <c r="M98" i="11" s="1"/>
  <c r="F97" i="11"/>
  <c r="L97" i="11" s="1"/>
  <c r="M97" i="11" s="1"/>
  <c r="F96" i="11"/>
  <c r="H93" i="11"/>
  <c r="M93" i="11" s="1"/>
  <c r="F92" i="11"/>
  <c r="L92" i="11" s="1"/>
  <c r="M92" i="11" s="1"/>
  <c r="H86" i="11"/>
  <c r="M86" i="11" s="1"/>
  <c r="H88" i="11"/>
  <c r="M88" i="11" s="1"/>
  <c r="H87" i="11"/>
  <c r="M87" i="11" s="1"/>
  <c r="H85" i="11"/>
  <c r="M85" i="11" s="1"/>
  <c r="H84" i="11"/>
  <c r="M84" i="11" s="1"/>
  <c r="H83" i="11"/>
  <c r="M83" i="11" s="1"/>
  <c r="H82" i="11"/>
  <c r="M82" i="11" s="1"/>
  <c r="H81" i="11"/>
  <c r="M81" i="11" s="1"/>
  <c r="H80" i="11"/>
  <c r="M80" i="11" s="1"/>
  <c r="H79" i="11"/>
  <c r="M79" i="11" s="1"/>
  <c r="H78" i="11"/>
  <c r="M78" i="11" s="1"/>
  <c r="H77" i="11"/>
  <c r="M77" i="11" s="1"/>
  <c r="H76" i="11"/>
  <c r="M76" i="11" s="1"/>
  <c r="H75" i="11"/>
  <c r="M75" i="11" s="1"/>
  <c r="H74" i="11"/>
  <c r="M74" i="11" s="1"/>
  <c r="J96" i="11" l="1"/>
  <c r="M96" i="11" s="1"/>
  <c r="J116" i="11"/>
  <c r="M116" i="11" s="1"/>
  <c r="J134" i="11"/>
  <c r="M134" i="11" s="1"/>
  <c r="M144" i="11"/>
  <c r="J144" i="11"/>
  <c r="J154" i="11"/>
  <c r="M154" i="11" s="1"/>
  <c r="J164" i="11"/>
  <c r="M164" i="11" s="1"/>
  <c r="J106" i="11"/>
  <c r="M106" i="11" s="1"/>
  <c r="J111" i="11"/>
  <c r="M111" i="11" s="1"/>
  <c r="J129" i="11"/>
  <c r="M129" i="11" s="1"/>
  <c r="J149" i="11"/>
  <c r="M149" i="11" s="1"/>
  <c r="J159" i="11"/>
  <c r="M159" i="11" s="1"/>
  <c r="J169" i="11"/>
  <c r="M169" i="11" s="1"/>
  <c r="M139" i="11"/>
  <c r="M101" i="11"/>
  <c r="F91" i="11"/>
  <c r="H89" i="11"/>
  <c r="M89" i="11" s="1"/>
  <c r="J91" i="11" l="1"/>
  <c r="M91" i="11" s="1"/>
  <c r="H67" i="11"/>
  <c r="M67" i="11" s="1"/>
  <c r="H66" i="11"/>
  <c r="M66" i="11" s="1"/>
  <c r="H65" i="11"/>
  <c r="M65" i="11" s="1"/>
  <c r="H64" i="11"/>
  <c r="M64" i="11" s="1"/>
  <c r="H63" i="11"/>
  <c r="M63" i="11" s="1"/>
  <c r="F73" i="11"/>
  <c r="H73" i="11" s="1"/>
  <c r="M73" i="11" s="1"/>
  <c r="H72" i="11"/>
  <c r="M72" i="11" s="1"/>
  <c r="H71" i="11"/>
  <c r="M71" i="11" s="1"/>
  <c r="H70" i="11"/>
  <c r="M70" i="11" s="1"/>
  <c r="H69" i="11"/>
  <c r="M69" i="11" s="1"/>
  <c r="H68" i="11"/>
  <c r="M68" i="11" s="1"/>
  <c r="F62" i="11"/>
  <c r="L62" i="11" s="1"/>
  <c r="M62" i="11" s="1"/>
  <c r="F61" i="11"/>
  <c r="J61" i="11" l="1"/>
  <c r="M61" i="11" s="1"/>
  <c r="F59" i="11"/>
  <c r="H59" i="11" s="1"/>
  <c r="M59" i="11" s="1"/>
  <c r="F58" i="11"/>
  <c r="H58" i="11" s="1"/>
  <c r="M58" i="11" s="1"/>
  <c r="F57" i="11"/>
  <c r="L57" i="11" s="1"/>
  <c r="M57" i="11" s="1"/>
  <c r="F56" i="11"/>
  <c r="J56" i="11" s="1"/>
  <c r="H53" i="11"/>
  <c r="M53" i="11" s="1"/>
  <c r="F49" i="11"/>
  <c r="F54" i="11" s="1"/>
  <c r="H54" i="11" s="1"/>
  <c r="M54" i="11" s="1"/>
  <c r="H52" i="11"/>
  <c r="M52" i="11" s="1"/>
  <c r="F48" i="11"/>
  <c r="H48" i="11" s="1"/>
  <c r="M48" i="11" s="1"/>
  <c r="H46" i="11"/>
  <c r="M46" i="11" s="1"/>
  <c r="F42" i="11"/>
  <c r="L42" i="11" s="1"/>
  <c r="M42" i="11" s="1"/>
  <c r="F41" i="11"/>
  <c r="F36" i="11"/>
  <c r="L36" i="11" s="1"/>
  <c r="M36" i="11" s="1"/>
  <c r="H33" i="11"/>
  <c r="H32" i="11"/>
  <c r="H31" i="11"/>
  <c r="H30" i="11"/>
  <c r="H29" i="11"/>
  <c r="F27" i="11"/>
  <c r="H27" i="11" s="1"/>
  <c r="M27" i="11" s="1"/>
  <c r="F26" i="11"/>
  <c r="H26" i="11" s="1"/>
  <c r="M26" i="11" s="1"/>
  <c r="F25" i="11"/>
  <c r="H28" i="11" s="1"/>
  <c r="F24" i="11"/>
  <c r="F22" i="11"/>
  <c r="H22" i="11" s="1"/>
  <c r="M22" i="11" s="1"/>
  <c r="F21" i="11"/>
  <c r="H21" i="11" s="1"/>
  <c r="M21" i="11" s="1"/>
  <c r="F20" i="11"/>
  <c r="L20" i="11" s="1"/>
  <c r="M20" i="11" s="1"/>
  <c r="F19" i="11"/>
  <c r="F17" i="11"/>
  <c r="H17" i="11" s="1"/>
  <c r="M17" i="11" s="1"/>
  <c r="F16" i="11"/>
  <c r="H16" i="11" s="1"/>
  <c r="M16" i="11" s="1"/>
  <c r="F15" i="11"/>
  <c r="L15" i="11" s="1"/>
  <c r="M15" i="11" s="1"/>
  <c r="F14" i="11"/>
  <c r="F72" i="10"/>
  <c r="H72" i="10" s="1"/>
  <c r="M72" i="10" s="1"/>
  <c r="F71" i="10"/>
  <c r="J71" i="10" s="1"/>
  <c r="M71" i="10" s="1"/>
  <c r="F12" i="11"/>
  <c r="H12" i="11" s="1"/>
  <c r="M12" i="11" s="1"/>
  <c r="F11" i="11"/>
  <c r="H11" i="11" s="1"/>
  <c r="M11" i="11" s="1"/>
  <c r="F10" i="11"/>
  <c r="L10" i="11" s="1"/>
  <c r="F9" i="11"/>
  <c r="J9" i="11" s="1"/>
  <c r="F224" i="10"/>
  <c r="H224" i="10" s="1"/>
  <c r="M224" i="10" s="1"/>
  <c r="H223" i="10"/>
  <c r="M223" i="10" s="1"/>
  <c r="H222" i="10"/>
  <c r="M222" i="10" s="1"/>
  <c r="F221" i="10"/>
  <c r="L221" i="10" s="1"/>
  <c r="M221" i="10" s="1"/>
  <c r="F220" i="10"/>
  <c r="J220" i="10" s="1"/>
  <c r="M220" i="10" s="1"/>
  <c r="F218" i="10"/>
  <c r="H218" i="10" s="1"/>
  <c r="M218" i="10" s="1"/>
  <c r="H216" i="10"/>
  <c r="M216" i="10" s="1"/>
  <c r="F215" i="10"/>
  <c r="L215" i="10" s="1"/>
  <c r="M215" i="10" s="1"/>
  <c r="F214" i="10"/>
  <c r="J214" i="10" s="1"/>
  <c r="M214" i="10" s="1"/>
  <c r="F212" i="10"/>
  <c r="H212" i="10" s="1"/>
  <c r="M212" i="10" s="1"/>
  <c r="F211" i="10"/>
  <c r="H211" i="10" s="1"/>
  <c r="M211" i="10" s="1"/>
  <c r="F210" i="10"/>
  <c r="L210" i="10" s="1"/>
  <c r="M210" i="10" s="1"/>
  <c r="F209" i="10"/>
  <c r="J209" i="10" s="1"/>
  <c r="M209" i="10" s="1"/>
  <c r="F207" i="10"/>
  <c r="H207" i="10" s="1"/>
  <c r="M207" i="10" s="1"/>
  <c r="F206" i="10"/>
  <c r="H206" i="10" s="1"/>
  <c r="M206" i="10" s="1"/>
  <c r="F205" i="10"/>
  <c r="L205" i="10" s="1"/>
  <c r="M205" i="10" s="1"/>
  <c r="F204" i="10"/>
  <c r="J204" i="10" s="1"/>
  <c r="M204" i="10" s="1"/>
  <c r="F202" i="10"/>
  <c r="H202" i="10" s="1"/>
  <c r="M202" i="10" s="1"/>
  <c r="F201" i="10"/>
  <c r="H201" i="10" s="1"/>
  <c r="M201" i="10" s="1"/>
  <c r="F200" i="10"/>
  <c r="L200" i="10" s="1"/>
  <c r="M200" i="10" s="1"/>
  <c r="F199" i="10"/>
  <c r="J199" i="10" s="1"/>
  <c r="M199" i="10" s="1"/>
  <c r="F197" i="10"/>
  <c r="H197" i="10" s="1"/>
  <c r="M197" i="10" s="1"/>
  <c r="F196" i="10"/>
  <c r="H196" i="10" s="1"/>
  <c r="M196" i="10" s="1"/>
  <c r="F195" i="10"/>
  <c r="L195" i="10" s="1"/>
  <c r="M195" i="10" s="1"/>
  <c r="F194" i="10"/>
  <c r="J194" i="10" s="1"/>
  <c r="M194" i="10" s="1"/>
  <c r="F192" i="10"/>
  <c r="H192" i="10" s="1"/>
  <c r="M192" i="10" s="1"/>
  <c r="F191" i="10"/>
  <c r="H191" i="10" s="1"/>
  <c r="M191" i="10" s="1"/>
  <c r="F190" i="10"/>
  <c r="L190" i="10" s="1"/>
  <c r="M190" i="10" s="1"/>
  <c r="F189" i="10"/>
  <c r="J189" i="10" s="1"/>
  <c r="M189" i="10" s="1"/>
  <c r="F187" i="10"/>
  <c r="H187" i="10" s="1"/>
  <c r="M187" i="10" s="1"/>
  <c r="F186" i="10"/>
  <c r="H186" i="10" s="1"/>
  <c r="M186" i="10" s="1"/>
  <c r="F185" i="10"/>
  <c r="L185" i="10" s="1"/>
  <c r="M185" i="10" s="1"/>
  <c r="F184" i="10"/>
  <c r="J184" i="10" s="1"/>
  <c r="M184" i="10" s="1"/>
  <c r="F175" i="10"/>
  <c r="H175" i="10" s="1"/>
  <c r="M175" i="10" s="1"/>
  <c r="H173" i="10"/>
  <c r="M173" i="10" s="1"/>
  <c r="F170" i="10"/>
  <c r="L170" i="10" s="1"/>
  <c r="M170" i="10" s="1"/>
  <c r="F169" i="10"/>
  <c r="J169" i="10" s="1"/>
  <c r="M169" i="10" s="1"/>
  <c r="F163" i="10"/>
  <c r="F165" i="10" s="1"/>
  <c r="L165" i="10" s="1"/>
  <c r="M165" i="10" s="1"/>
  <c r="H166" i="10"/>
  <c r="M166" i="10" s="1"/>
  <c r="F161" i="10"/>
  <c r="F162" i="10"/>
  <c r="H162" i="10" s="1"/>
  <c r="M162" i="10" s="1"/>
  <c r="F160" i="10"/>
  <c r="L160" i="10" s="1"/>
  <c r="M160" i="10" s="1"/>
  <c r="F159" i="10"/>
  <c r="J159" i="10" s="1"/>
  <c r="M159" i="10" s="1"/>
  <c r="H149" i="10"/>
  <c r="M149" i="10" s="1"/>
  <c r="F141" i="10"/>
  <c r="F151" i="10" s="1"/>
  <c r="H151" i="10" s="1"/>
  <c r="M151" i="10" s="1"/>
  <c r="H150" i="10"/>
  <c r="M150" i="10" s="1"/>
  <c r="H148" i="10"/>
  <c r="M148" i="10" s="1"/>
  <c r="H147" i="10"/>
  <c r="M147" i="10" s="1"/>
  <c r="H146" i="10"/>
  <c r="M146" i="10" s="1"/>
  <c r="H145" i="10"/>
  <c r="M145" i="10" s="1"/>
  <c r="H144" i="10"/>
  <c r="M144" i="10" s="1"/>
  <c r="F130" i="10"/>
  <c r="F131" i="10" s="1"/>
  <c r="J131" i="10" s="1"/>
  <c r="M131" i="10" s="1"/>
  <c r="F119" i="10"/>
  <c r="F129" i="10" s="1"/>
  <c r="H129" i="10" s="1"/>
  <c r="M129" i="10" s="1"/>
  <c r="H139" i="10"/>
  <c r="M139" i="10" s="1"/>
  <c r="H138" i="10"/>
  <c r="M138" i="10" s="1"/>
  <c r="H137" i="10"/>
  <c r="M137" i="10" s="1"/>
  <c r="H136" i="10"/>
  <c r="M136" i="10" s="1"/>
  <c r="H135" i="10"/>
  <c r="M135" i="10" s="1"/>
  <c r="H134" i="10"/>
  <c r="M134" i="10" s="1"/>
  <c r="H133" i="10"/>
  <c r="M133" i="10" s="1"/>
  <c r="H128" i="10"/>
  <c r="M128" i="10" s="1"/>
  <c r="H127" i="10"/>
  <c r="M127" i="10" s="1"/>
  <c r="H126" i="10"/>
  <c r="M126" i="10" s="1"/>
  <c r="H125" i="10"/>
  <c r="M125" i="10" s="1"/>
  <c r="H124" i="10"/>
  <c r="M124" i="10" s="1"/>
  <c r="H123" i="10"/>
  <c r="M123" i="10" s="1"/>
  <c r="H122" i="10"/>
  <c r="M122" i="10" s="1"/>
  <c r="H117" i="10"/>
  <c r="M117" i="10" s="1"/>
  <c r="H116" i="10"/>
  <c r="M116" i="10" s="1"/>
  <c r="H115" i="10"/>
  <c r="M115" i="10" s="1"/>
  <c r="H114" i="10"/>
  <c r="M114" i="10" s="1"/>
  <c r="H113" i="10"/>
  <c r="M113" i="10" s="1"/>
  <c r="H112" i="10"/>
  <c r="M112" i="10" s="1"/>
  <c r="H111" i="10"/>
  <c r="M111" i="10" s="1"/>
  <c r="F108" i="10"/>
  <c r="H108" i="10" s="1"/>
  <c r="M108" i="10" s="1"/>
  <c r="F107" i="10"/>
  <c r="H107" i="10" s="1"/>
  <c r="M107" i="10" s="1"/>
  <c r="F106" i="10"/>
  <c r="L106" i="10" s="1"/>
  <c r="M106" i="10" s="1"/>
  <c r="F105" i="10"/>
  <c r="J105" i="10" s="1"/>
  <c r="M105" i="10" s="1"/>
  <c r="F103" i="10"/>
  <c r="H103" i="10" s="1"/>
  <c r="M103" i="10" s="1"/>
  <c r="F102" i="10"/>
  <c r="H102" i="10" s="1"/>
  <c r="M102" i="10" s="1"/>
  <c r="F101" i="10"/>
  <c r="L101" i="10" s="1"/>
  <c r="M101" i="10" s="1"/>
  <c r="F100" i="10"/>
  <c r="J100" i="10" s="1"/>
  <c r="M100" i="10" s="1"/>
  <c r="F98" i="10"/>
  <c r="H98" i="10" s="1"/>
  <c r="M98" i="10" s="1"/>
  <c r="F97" i="10"/>
  <c r="H97" i="10" s="1"/>
  <c r="M97" i="10" s="1"/>
  <c r="F96" i="10"/>
  <c r="L96" i="10" s="1"/>
  <c r="M96" i="10" s="1"/>
  <c r="F95" i="10"/>
  <c r="J95" i="10" s="1"/>
  <c r="M95" i="10" s="1"/>
  <c r="F93" i="10"/>
  <c r="H93" i="10" s="1"/>
  <c r="M93" i="10" s="1"/>
  <c r="F92" i="10"/>
  <c r="H92" i="10" s="1"/>
  <c r="M92" i="10" s="1"/>
  <c r="F91" i="10"/>
  <c r="L91" i="10" s="1"/>
  <c r="M91" i="10" s="1"/>
  <c r="F90" i="10"/>
  <c r="J90" i="10" s="1"/>
  <c r="M90" i="10" s="1"/>
  <c r="F88" i="10"/>
  <c r="H88" i="10" s="1"/>
  <c r="M88" i="10" s="1"/>
  <c r="F87" i="10"/>
  <c r="H87" i="10" s="1"/>
  <c r="M87" i="10" s="1"/>
  <c r="F86" i="10"/>
  <c r="L86" i="10" s="1"/>
  <c r="M86" i="10" s="1"/>
  <c r="F85" i="10"/>
  <c r="J85" i="10" s="1"/>
  <c r="M85" i="10" s="1"/>
  <c r="F83" i="10"/>
  <c r="H83" i="10" s="1"/>
  <c r="M83" i="10" s="1"/>
  <c r="F82" i="10"/>
  <c r="H82" i="10" s="1"/>
  <c r="M82" i="10" s="1"/>
  <c r="F81" i="10"/>
  <c r="L81" i="10" s="1"/>
  <c r="M81" i="10" s="1"/>
  <c r="F80" i="10"/>
  <c r="J80" i="10" s="1"/>
  <c r="M80" i="10" s="1"/>
  <c r="F78" i="10"/>
  <c r="H78" i="10" s="1"/>
  <c r="M78" i="10" s="1"/>
  <c r="F77" i="10"/>
  <c r="F76" i="10"/>
  <c r="L76" i="10" s="1"/>
  <c r="M76" i="10" s="1"/>
  <c r="F75" i="10"/>
  <c r="J75" i="10" s="1"/>
  <c r="M75" i="10" s="1"/>
  <c r="F68" i="10"/>
  <c r="F56" i="10"/>
  <c r="F66" i="10"/>
  <c r="J66" i="10" s="1"/>
  <c r="M66" i="10" s="1"/>
  <c r="H63" i="10"/>
  <c r="M63" i="10" s="1"/>
  <c r="F181" i="10"/>
  <c r="H181" i="10" s="1"/>
  <c r="M181" i="10" s="1"/>
  <c r="H156" i="10"/>
  <c r="M156" i="10" s="1"/>
  <c r="F154" i="10"/>
  <c r="L154" i="10" s="1"/>
  <c r="M154" i="10" s="1"/>
  <c r="H62" i="10"/>
  <c r="M62" i="10" s="1"/>
  <c r="H61" i="10"/>
  <c r="M61" i="10" s="1"/>
  <c r="H60" i="10"/>
  <c r="M60" i="10" s="1"/>
  <c r="F55" i="10"/>
  <c r="H55" i="10" s="1"/>
  <c r="M55" i="10" s="1"/>
  <c r="F54" i="10"/>
  <c r="H54" i="10" s="1"/>
  <c r="M54" i="10" s="1"/>
  <c r="F53" i="10"/>
  <c r="L53" i="10" s="1"/>
  <c r="M53" i="10" s="1"/>
  <c r="F52" i="10"/>
  <c r="J52" i="10" s="1"/>
  <c r="M52" i="10" s="1"/>
  <c r="F50" i="10"/>
  <c r="H50" i="10" s="1"/>
  <c r="M50" i="10" s="1"/>
  <c r="F49" i="10"/>
  <c r="H49" i="10" s="1"/>
  <c r="M49" i="10" s="1"/>
  <c r="F48" i="10"/>
  <c r="L48" i="10" s="1"/>
  <c r="M48" i="10" s="1"/>
  <c r="F47" i="10"/>
  <c r="J47" i="10" s="1"/>
  <c r="M47" i="10" s="1"/>
  <c r="F45" i="10"/>
  <c r="H45" i="10" s="1"/>
  <c r="M45" i="10" s="1"/>
  <c r="F44" i="10"/>
  <c r="H44" i="10" s="1"/>
  <c r="M44" i="10" s="1"/>
  <c r="F43" i="10"/>
  <c r="L43" i="10" s="1"/>
  <c r="M43" i="10" s="1"/>
  <c r="F42" i="10"/>
  <c r="J42" i="10" s="1"/>
  <c r="M42" i="10" s="1"/>
  <c r="F40" i="10"/>
  <c r="H40" i="10" s="1"/>
  <c r="M40" i="10" s="1"/>
  <c r="F39" i="10"/>
  <c r="H39" i="10" s="1"/>
  <c r="M39" i="10" s="1"/>
  <c r="F38" i="10"/>
  <c r="H38" i="10" s="1"/>
  <c r="M38" i="10" s="1"/>
  <c r="F37" i="10"/>
  <c r="L37" i="10" s="1"/>
  <c r="M37" i="10" s="1"/>
  <c r="F36" i="10"/>
  <c r="J36" i="10" s="1"/>
  <c r="M36" i="10" s="1"/>
  <c r="F34" i="10"/>
  <c r="H34" i="10" s="1"/>
  <c r="M34" i="10" s="1"/>
  <c r="H33" i="10"/>
  <c r="M33" i="10" s="1"/>
  <c r="H32" i="10"/>
  <c r="M32" i="10" s="1"/>
  <c r="F31" i="10"/>
  <c r="L31" i="10" s="1"/>
  <c r="M31" i="10" s="1"/>
  <c r="F30" i="10"/>
  <c r="J30" i="10" s="1"/>
  <c r="M30" i="10" s="1"/>
  <c r="F28" i="10"/>
  <c r="H28" i="10" s="1"/>
  <c r="M28" i="10" s="1"/>
  <c r="F27" i="10"/>
  <c r="H27" i="10" s="1"/>
  <c r="M27" i="10" s="1"/>
  <c r="F26" i="10"/>
  <c r="L26" i="10" s="1"/>
  <c r="M26" i="10" s="1"/>
  <c r="F25" i="10"/>
  <c r="J25" i="10" s="1"/>
  <c r="M25" i="10" s="1"/>
  <c r="F23" i="10"/>
  <c r="H23" i="10" s="1"/>
  <c r="M23" i="10" s="1"/>
  <c r="F22" i="10"/>
  <c r="F21" i="10"/>
  <c r="L21" i="10" s="1"/>
  <c r="M21" i="10" s="1"/>
  <c r="F20" i="10"/>
  <c r="J20" i="10" s="1"/>
  <c r="M20" i="10" s="1"/>
  <c r="F18" i="10"/>
  <c r="H18" i="10" s="1"/>
  <c r="M18" i="10" s="1"/>
  <c r="F17" i="10"/>
  <c r="H17" i="10" s="1"/>
  <c r="M17" i="10" s="1"/>
  <c r="F16" i="10"/>
  <c r="L16" i="10" s="1"/>
  <c r="M16" i="10" s="1"/>
  <c r="F15" i="10"/>
  <c r="J15" i="10" s="1"/>
  <c r="M15" i="10" s="1"/>
  <c r="F13" i="10"/>
  <c r="H13" i="10" s="1"/>
  <c r="M13" i="10" s="1"/>
  <c r="F12" i="10"/>
  <c r="H12" i="10" s="1"/>
  <c r="F11" i="10"/>
  <c r="L11" i="10" s="1"/>
  <c r="F10" i="10"/>
  <c r="J10" i="10" s="1"/>
  <c r="J14" i="11" l="1"/>
  <c r="M14" i="11" s="1"/>
  <c r="J24" i="11"/>
  <c r="M24" i="11" s="1"/>
  <c r="H47" i="11"/>
  <c r="M47" i="11" s="1"/>
  <c r="J41" i="11"/>
  <c r="M41" i="11" s="1"/>
  <c r="M19" i="11"/>
  <c r="J19" i="11"/>
  <c r="M56" i="11"/>
  <c r="F50" i="11"/>
  <c r="F51" i="11"/>
  <c r="L51" i="11" s="1"/>
  <c r="M51" i="11" s="1"/>
  <c r="F35" i="11"/>
  <c r="F37" i="11"/>
  <c r="F39" i="11"/>
  <c r="M29" i="11"/>
  <c r="M33" i="11"/>
  <c r="M31" i="11"/>
  <c r="M32" i="11"/>
  <c r="M30" i="11"/>
  <c r="M28" i="11"/>
  <c r="L25" i="11"/>
  <c r="M25" i="11" s="1"/>
  <c r="M10" i="11"/>
  <c r="M9" i="11"/>
  <c r="H217" i="10"/>
  <c r="M217" i="10" s="1"/>
  <c r="H171" i="10"/>
  <c r="M171" i="10" s="1"/>
  <c r="H174" i="10"/>
  <c r="M174" i="10" s="1"/>
  <c r="H161" i="10"/>
  <c r="M161" i="10" s="1"/>
  <c r="F120" i="10"/>
  <c r="J120" i="10" s="1"/>
  <c r="M120" i="10" s="1"/>
  <c r="F164" i="10"/>
  <c r="J164" i="10" s="1"/>
  <c r="M164" i="10" s="1"/>
  <c r="F167" i="10"/>
  <c r="F121" i="10"/>
  <c r="L121" i="10" s="1"/>
  <c r="M121" i="10" s="1"/>
  <c r="F142" i="10"/>
  <c r="J142" i="10" s="1"/>
  <c r="M142" i="10" s="1"/>
  <c r="F132" i="10"/>
  <c r="L132" i="10" s="1"/>
  <c r="M132" i="10" s="1"/>
  <c r="F140" i="10"/>
  <c r="H140" i="10" s="1"/>
  <c r="M140" i="10" s="1"/>
  <c r="F143" i="10"/>
  <c r="L143" i="10" s="1"/>
  <c r="M143" i="10" s="1"/>
  <c r="F109" i="10"/>
  <c r="F110" i="10" s="1"/>
  <c r="J110" i="10" s="1"/>
  <c r="M110" i="10" s="1"/>
  <c r="H77" i="10"/>
  <c r="M77" i="10" s="1"/>
  <c r="H68" i="10"/>
  <c r="M68" i="10" s="1"/>
  <c r="H22" i="10"/>
  <c r="M22" i="10" s="1"/>
  <c r="F179" i="10"/>
  <c r="J179" i="10" s="1"/>
  <c r="M179" i="10" s="1"/>
  <c r="F180" i="10"/>
  <c r="L180" i="10" s="1"/>
  <c r="M180" i="10" s="1"/>
  <c r="F67" i="10"/>
  <c r="L67" i="10" s="1"/>
  <c r="M67" i="10" s="1"/>
  <c r="F69" i="10"/>
  <c r="H69" i="10" s="1"/>
  <c r="M69" i="10" s="1"/>
  <c r="F157" i="10"/>
  <c r="H157" i="10" s="1"/>
  <c r="M157" i="10" s="1"/>
  <c r="M10" i="10"/>
  <c r="M11" i="10"/>
  <c r="M12" i="10"/>
  <c r="F182" i="10"/>
  <c r="H182" i="10" s="1"/>
  <c r="M182" i="10" s="1"/>
  <c r="H155" i="10"/>
  <c r="M155" i="10" s="1"/>
  <c r="F153" i="10"/>
  <c r="J153" i="10" s="1"/>
  <c r="M153" i="10" s="1"/>
  <c r="J35" i="11" l="1"/>
  <c r="M35" i="11" s="1"/>
  <c r="J50" i="11"/>
  <c r="J206" i="11" s="1"/>
  <c r="H37" i="11"/>
  <c r="M37" i="11" s="1"/>
  <c r="H43" i="11"/>
  <c r="M43" i="11" s="1"/>
  <c r="H39" i="11"/>
  <c r="M39" i="11" s="1"/>
  <c r="H45" i="11"/>
  <c r="M45" i="11" s="1"/>
  <c r="F38" i="11"/>
  <c r="L206" i="11"/>
  <c r="H225" i="10"/>
  <c r="H167" i="10"/>
  <c r="M167" i="10" s="1"/>
  <c r="H172" i="10"/>
  <c r="M172" i="10" s="1"/>
  <c r="M50" i="11" l="1"/>
  <c r="H38" i="11"/>
  <c r="M38" i="11" s="1"/>
  <c r="H44" i="11"/>
  <c r="M44" i="11" s="1"/>
  <c r="J313" i="6"/>
  <c r="H313" i="6"/>
  <c r="F313" i="6"/>
  <c r="C311" i="6"/>
  <c r="F311" i="6" s="1"/>
  <c r="J310" i="6"/>
  <c r="H310" i="6"/>
  <c r="F310" i="6"/>
  <c r="J309" i="6"/>
  <c r="H309" i="6"/>
  <c r="F309" i="6"/>
  <c r="J308" i="6"/>
  <c r="H308" i="6"/>
  <c r="F308" i="6"/>
  <c r="J306" i="6"/>
  <c r="H306" i="6"/>
  <c r="F306" i="6"/>
  <c r="J305" i="6"/>
  <c r="H305" i="6"/>
  <c r="F305" i="6"/>
  <c r="J304" i="6"/>
  <c r="H304" i="6"/>
  <c r="F304" i="6"/>
  <c r="J303" i="6"/>
  <c r="H303" i="6"/>
  <c r="F303" i="6"/>
  <c r="J302" i="6"/>
  <c r="H302" i="6"/>
  <c r="F302" i="6"/>
  <c r="J301" i="6"/>
  <c r="H301" i="6"/>
  <c r="F301" i="6"/>
  <c r="J300" i="6"/>
  <c r="H300" i="6"/>
  <c r="F300" i="6"/>
  <c r="J299" i="6"/>
  <c r="H299" i="6"/>
  <c r="F299" i="6"/>
  <c r="J298" i="6"/>
  <c r="H298" i="6"/>
  <c r="F298" i="6"/>
  <c r="J297" i="6"/>
  <c r="H297" i="6"/>
  <c r="F297" i="6"/>
  <c r="J296" i="6"/>
  <c r="H296" i="6"/>
  <c r="F296" i="6"/>
  <c r="J295" i="6"/>
  <c r="H295" i="6"/>
  <c r="F295" i="6"/>
  <c r="J294" i="6"/>
  <c r="H294" i="6"/>
  <c r="F294" i="6"/>
  <c r="J293" i="6"/>
  <c r="H293" i="6"/>
  <c r="F293" i="6"/>
  <c r="J292" i="6"/>
  <c r="H292" i="6"/>
  <c r="F292" i="6"/>
  <c r="J290" i="6"/>
  <c r="H290" i="6"/>
  <c r="F290" i="6"/>
  <c r="J289" i="6"/>
  <c r="H289" i="6"/>
  <c r="F289" i="6"/>
  <c r="J288" i="6"/>
  <c r="H288" i="6"/>
  <c r="F288" i="6"/>
  <c r="J287" i="6"/>
  <c r="H287" i="6"/>
  <c r="F287" i="6"/>
  <c r="J286" i="6"/>
  <c r="H286" i="6"/>
  <c r="F286" i="6"/>
  <c r="J284" i="6"/>
  <c r="H284" i="6"/>
  <c r="F284" i="6"/>
  <c r="J283" i="6"/>
  <c r="H283" i="6"/>
  <c r="F283" i="6"/>
  <c r="J282" i="6"/>
  <c r="H282" i="6"/>
  <c r="F282" i="6"/>
  <c r="J281" i="6"/>
  <c r="H281" i="6"/>
  <c r="F281" i="6"/>
  <c r="J280" i="6"/>
  <c r="H280" i="6"/>
  <c r="F280" i="6"/>
  <c r="J279" i="6"/>
  <c r="H279" i="6"/>
  <c r="F279" i="6"/>
  <c r="J278" i="6"/>
  <c r="H278" i="6"/>
  <c r="F278" i="6"/>
  <c r="J277" i="6"/>
  <c r="H277" i="6"/>
  <c r="F277" i="6"/>
  <c r="J276" i="6"/>
  <c r="H276" i="6"/>
  <c r="F276" i="6"/>
  <c r="J275" i="6"/>
  <c r="H275" i="6"/>
  <c r="F275" i="6"/>
  <c r="J274" i="6"/>
  <c r="H274" i="6"/>
  <c r="F274" i="6"/>
  <c r="J273" i="6"/>
  <c r="H273" i="6"/>
  <c r="F273" i="6"/>
  <c r="J272" i="6"/>
  <c r="H272" i="6"/>
  <c r="F272" i="6"/>
  <c r="J271" i="6"/>
  <c r="H271" i="6"/>
  <c r="F271" i="6"/>
  <c r="J270" i="6"/>
  <c r="H270" i="6"/>
  <c r="F270" i="6"/>
  <c r="J269" i="6"/>
  <c r="H269" i="6"/>
  <c r="F269" i="6"/>
  <c r="J268" i="6"/>
  <c r="H268" i="6"/>
  <c r="F268" i="6"/>
  <c r="J267" i="6"/>
  <c r="H267" i="6"/>
  <c r="F267" i="6"/>
  <c r="J266" i="6"/>
  <c r="H266" i="6"/>
  <c r="F266" i="6"/>
  <c r="J264" i="6"/>
  <c r="H264" i="6"/>
  <c r="F264" i="6"/>
  <c r="J263" i="6"/>
  <c r="H263" i="6"/>
  <c r="F263" i="6"/>
  <c r="J262" i="6"/>
  <c r="H262" i="6"/>
  <c r="F262" i="6"/>
  <c r="J261" i="6"/>
  <c r="H261" i="6"/>
  <c r="F261" i="6"/>
  <c r="J260" i="6"/>
  <c r="H260" i="6"/>
  <c r="F260" i="6"/>
  <c r="J259" i="6"/>
  <c r="H259" i="6"/>
  <c r="F259" i="6"/>
  <c r="J258" i="6"/>
  <c r="H258" i="6"/>
  <c r="F258" i="6"/>
  <c r="J257" i="6"/>
  <c r="H257" i="6"/>
  <c r="F257" i="6"/>
  <c r="J256" i="6"/>
  <c r="H256" i="6"/>
  <c r="F256" i="6"/>
  <c r="J255" i="6"/>
  <c r="H255" i="6"/>
  <c r="F255" i="6"/>
  <c r="J253" i="6"/>
  <c r="H253" i="6"/>
  <c r="F253" i="6"/>
  <c r="J252" i="6"/>
  <c r="H252" i="6"/>
  <c r="F252" i="6"/>
  <c r="J251" i="6"/>
  <c r="H251" i="6"/>
  <c r="F251" i="6"/>
  <c r="J250" i="6"/>
  <c r="H250" i="6"/>
  <c r="F250" i="6"/>
  <c r="J249" i="6"/>
  <c r="H249" i="6"/>
  <c r="F249" i="6"/>
  <c r="J248" i="6"/>
  <c r="H248" i="6"/>
  <c r="F248" i="6"/>
  <c r="J247" i="6"/>
  <c r="H247" i="6"/>
  <c r="F247" i="6"/>
  <c r="J246" i="6"/>
  <c r="H246" i="6"/>
  <c r="F246" i="6"/>
  <c r="J245" i="6"/>
  <c r="H245" i="6"/>
  <c r="F245" i="6"/>
  <c r="J244" i="6"/>
  <c r="H244" i="6"/>
  <c r="F244" i="6"/>
  <c r="J243" i="6"/>
  <c r="H243" i="6"/>
  <c r="F243" i="6"/>
  <c r="J242" i="6"/>
  <c r="H242" i="6"/>
  <c r="F242" i="6"/>
  <c r="J240" i="6"/>
  <c r="H240" i="6"/>
  <c r="F240" i="6"/>
  <c r="J239" i="6"/>
  <c r="H239" i="6"/>
  <c r="F239" i="6"/>
  <c r="J238" i="6"/>
  <c r="H238" i="6"/>
  <c r="F238" i="6"/>
  <c r="J237" i="6"/>
  <c r="K237" i="6" s="1"/>
  <c r="H237" i="6"/>
  <c r="F237" i="6"/>
  <c r="J236" i="6"/>
  <c r="H236" i="6"/>
  <c r="F236" i="6"/>
  <c r="J235" i="6"/>
  <c r="H235" i="6"/>
  <c r="F235" i="6"/>
  <c r="J234" i="6"/>
  <c r="H234" i="6"/>
  <c r="F234" i="6"/>
  <c r="J233" i="6"/>
  <c r="H233" i="6"/>
  <c r="F233" i="6"/>
  <c r="J231" i="6"/>
  <c r="H231" i="6"/>
  <c r="F231" i="6"/>
  <c r="J230" i="6"/>
  <c r="H230" i="6"/>
  <c r="F230" i="6"/>
  <c r="J229" i="6"/>
  <c r="H229" i="6"/>
  <c r="F229" i="6"/>
  <c r="J228" i="6"/>
  <c r="K228" i="6" s="1"/>
  <c r="H228" i="6"/>
  <c r="F228" i="6"/>
  <c r="J227" i="6"/>
  <c r="H227" i="6"/>
  <c r="F227" i="6"/>
  <c r="J226" i="6"/>
  <c r="H226" i="6"/>
  <c r="F226" i="6"/>
  <c r="J225" i="6"/>
  <c r="H225" i="6"/>
  <c r="F225" i="6"/>
  <c r="J223" i="6"/>
  <c r="H223" i="6"/>
  <c r="F223" i="6"/>
  <c r="J222" i="6"/>
  <c r="H222" i="6"/>
  <c r="F222" i="6"/>
  <c r="J221" i="6"/>
  <c r="H221" i="6"/>
  <c r="F221" i="6"/>
  <c r="J220" i="6"/>
  <c r="H220" i="6"/>
  <c r="F220" i="6"/>
  <c r="J219" i="6"/>
  <c r="K219" i="6" s="1"/>
  <c r="H219" i="6"/>
  <c r="F219" i="6"/>
  <c r="J218" i="6"/>
  <c r="H218" i="6"/>
  <c r="F218" i="6"/>
  <c r="J217" i="6"/>
  <c r="H217" i="6"/>
  <c r="F217" i="6"/>
  <c r="J216" i="6"/>
  <c r="H216" i="6"/>
  <c r="F216" i="6"/>
  <c r="J215" i="6"/>
  <c r="H215" i="6"/>
  <c r="F215" i="6"/>
  <c r="J214" i="6"/>
  <c r="H214" i="6"/>
  <c r="F214" i="6"/>
  <c r="J213" i="6"/>
  <c r="H213" i="6"/>
  <c r="F213" i="6"/>
  <c r="J212" i="6"/>
  <c r="H212" i="6"/>
  <c r="F212" i="6"/>
  <c r="J211" i="6"/>
  <c r="K211" i="6" s="1"/>
  <c r="H211" i="6"/>
  <c r="F211" i="6"/>
  <c r="J210" i="6"/>
  <c r="H210" i="6"/>
  <c r="F210" i="6"/>
  <c r="J209" i="6"/>
  <c r="H209" i="6"/>
  <c r="F209" i="6"/>
  <c r="J208" i="6"/>
  <c r="H208" i="6"/>
  <c r="F208" i="6"/>
  <c r="J206" i="6"/>
  <c r="H206" i="6"/>
  <c r="F206" i="6"/>
  <c r="J205" i="6"/>
  <c r="H205" i="6"/>
  <c r="F205" i="6"/>
  <c r="J204" i="6"/>
  <c r="H204" i="6"/>
  <c r="F204" i="6"/>
  <c r="J203" i="6"/>
  <c r="H203" i="6"/>
  <c r="F203" i="6"/>
  <c r="J202" i="6"/>
  <c r="H202" i="6"/>
  <c r="F202" i="6"/>
  <c r="J201" i="6"/>
  <c r="H201" i="6"/>
  <c r="F201" i="6"/>
  <c r="J200" i="6"/>
  <c r="H200" i="6"/>
  <c r="F200" i="6"/>
  <c r="J199" i="6"/>
  <c r="H199" i="6"/>
  <c r="F199" i="6"/>
  <c r="J198" i="6"/>
  <c r="H198" i="6"/>
  <c r="F198" i="6"/>
  <c r="J197" i="6"/>
  <c r="H197" i="6"/>
  <c r="F197" i="6"/>
  <c r="J196" i="6"/>
  <c r="H196" i="6"/>
  <c r="F196" i="6"/>
  <c r="J195" i="6"/>
  <c r="H195" i="6"/>
  <c r="F195" i="6"/>
  <c r="J194" i="6"/>
  <c r="H194" i="6"/>
  <c r="F194" i="6"/>
  <c r="J193" i="6"/>
  <c r="H193" i="6"/>
  <c r="F193" i="6"/>
  <c r="J192" i="6"/>
  <c r="H192" i="6"/>
  <c r="F192" i="6"/>
  <c r="J191" i="6"/>
  <c r="H191" i="6"/>
  <c r="F191" i="6"/>
  <c r="J190" i="6"/>
  <c r="H190" i="6"/>
  <c r="F190" i="6"/>
  <c r="J189" i="6"/>
  <c r="H189" i="6"/>
  <c r="F189" i="6"/>
  <c r="J187" i="6"/>
  <c r="H187" i="6"/>
  <c r="F187" i="6"/>
  <c r="J186" i="6"/>
  <c r="H186" i="6"/>
  <c r="F186" i="6"/>
  <c r="J185" i="6"/>
  <c r="H185" i="6"/>
  <c r="F185" i="6"/>
  <c r="J184" i="6"/>
  <c r="H184" i="6"/>
  <c r="F184" i="6"/>
  <c r="J183" i="6"/>
  <c r="H183" i="6"/>
  <c r="F183" i="6"/>
  <c r="J182" i="6"/>
  <c r="H182" i="6"/>
  <c r="F182" i="6"/>
  <c r="J181" i="6"/>
  <c r="H181" i="6"/>
  <c r="F181" i="6"/>
  <c r="J180" i="6"/>
  <c r="H180" i="6"/>
  <c r="F180" i="6"/>
  <c r="J179" i="6"/>
  <c r="H179" i="6"/>
  <c r="F179" i="6"/>
  <c r="J178" i="6"/>
  <c r="H178" i="6"/>
  <c r="F178" i="6"/>
  <c r="J177" i="6"/>
  <c r="H177" i="6"/>
  <c r="F177" i="6"/>
  <c r="J176" i="6"/>
  <c r="H176" i="6"/>
  <c r="F176" i="6"/>
  <c r="J175" i="6"/>
  <c r="H175" i="6"/>
  <c r="F175" i="6"/>
  <c r="J173" i="6"/>
  <c r="H173" i="6"/>
  <c r="F173" i="6"/>
  <c r="J172" i="6"/>
  <c r="H172" i="6"/>
  <c r="F172" i="6"/>
  <c r="J171" i="6"/>
  <c r="H171" i="6"/>
  <c r="F171" i="6"/>
  <c r="J170" i="6"/>
  <c r="H170" i="6"/>
  <c r="F170" i="6"/>
  <c r="J169" i="6"/>
  <c r="H169" i="6"/>
  <c r="F169" i="6"/>
  <c r="J168" i="6"/>
  <c r="H168" i="6"/>
  <c r="F168" i="6"/>
  <c r="J167" i="6"/>
  <c r="H167" i="6"/>
  <c r="F167" i="6"/>
  <c r="J166" i="6"/>
  <c r="H166" i="6"/>
  <c r="F166" i="6"/>
  <c r="J165" i="6"/>
  <c r="H165" i="6"/>
  <c r="F165" i="6"/>
  <c r="J164" i="6"/>
  <c r="H164" i="6"/>
  <c r="F164" i="6"/>
  <c r="J163" i="6"/>
  <c r="H163" i="6"/>
  <c r="F163" i="6"/>
  <c r="J162" i="6"/>
  <c r="H162" i="6"/>
  <c r="F162" i="6"/>
  <c r="J161" i="6"/>
  <c r="H161" i="6"/>
  <c r="F161" i="6"/>
  <c r="J159" i="6"/>
  <c r="H159" i="6"/>
  <c r="F159" i="6"/>
  <c r="J158" i="6"/>
  <c r="H158" i="6"/>
  <c r="F158" i="6"/>
  <c r="J157" i="6"/>
  <c r="H157" i="6"/>
  <c r="F157" i="6"/>
  <c r="J156" i="6"/>
  <c r="H156" i="6"/>
  <c r="F156" i="6"/>
  <c r="J155" i="6"/>
  <c r="H155" i="6"/>
  <c r="F155" i="6"/>
  <c r="J154" i="6"/>
  <c r="H154" i="6"/>
  <c r="F154" i="6"/>
  <c r="J153" i="6"/>
  <c r="H153" i="6"/>
  <c r="F153" i="6"/>
  <c r="J152" i="6"/>
  <c r="H152" i="6"/>
  <c r="F152" i="6"/>
  <c r="J151" i="6"/>
  <c r="H151" i="6"/>
  <c r="F151" i="6"/>
  <c r="J150" i="6"/>
  <c r="H150" i="6"/>
  <c r="F150" i="6"/>
  <c r="J149" i="6"/>
  <c r="H149" i="6"/>
  <c r="F149" i="6"/>
  <c r="J148" i="6"/>
  <c r="H148" i="6"/>
  <c r="F148" i="6"/>
  <c r="J147" i="6"/>
  <c r="H147" i="6"/>
  <c r="F147" i="6"/>
  <c r="J146" i="6"/>
  <c r="H146" i="6"/>
  <c r="F146" i="6"/>
  <c r="J145" i="6"/>
  <c r="H145" i="6"/>
  <c r="F145" i="6"/>
  <c r="J144" i="6"/>
  <c r="H144" i="6"/>
  <c r="F144" i="6"/>
  <c r="J143" i="6"/>
  <c r="H143" i="6"/>
  <c r="F143" i="6"/>
  <c r="J141" i="6"/>
  <c r="H141" i="6"/>
  <c r="F141" i="6"/>
  <c r="J140" i="6"/>
  <c r="H140" i="6"/>
  <c r="F140" i="6"/>
  <c r="J139" i="6"/>
  <c r="H139" i="6"/>
  <c r="F139" i="6"/>
  <c r="J138" i="6"/>
  <c r="H138" i="6"/>
  <c r="F138" i="6"/>
  <c r="J137" i="6"/>
  <c r="H137" i="6"/>
  <c r="F137" i="6"/>
  <c r="J136" i="6"/>
  <c r="H136" i="6"/>
  <c r="F136" i="6"/>
  <c r="J135" i="6"/>
  <c r="H135" i="6"/>
  <c r="F135" i="6"/>
  <c r="J134" i="6"/>
  <c r="H134" i="6"/>
  <c r="F134" i="6"/>
  <c r="J133" i="6"/>
  <c r="H133" i="6"/>
  <c r="F133" i="6"/>
  <c r="J132" i="6"/>
  <c r="H132" i="6"/>
  <c r="F132" i="6"/>
  <c r="J131" i="6"/>
  <c r="H131" i="6"/>
  <c r="F131" i="6"/>
  <c r="J130" i="6"/>
  <c r="H130" i="6"/>
  <c r="F130" i="6"/>
  <c r="J129" i="6"/>
  <c r="H129" i="6"/>
  <c r="F129" i="6"/>
  <c r="J128" i="6"/>
  <c r="H128" i="6"/>
  <c r="F128" i="6"/>
  <c r="J127" i="6"/>
  <c r="H127" i="6"/>
  <c r="F127" i="6"/>
  <c r="J126" i="6"/>
  <c r="H126" i="6"/>
  <c r="F126" i="6"/>
  <c r="J125" i="6"/>
  <c r="H125" i="6"/>
  <c r="F125" i="6"/>
  <c r="J124" i="6"/>
  <c r="H124" i="6"/>
  <c r="F124" i="6"/>
  <c r="J123" i="6"/>
  <c r="H123" i="6"/>
  <c r="F123" i="6"/>
  <c r="J122" i="6"/>
  <c r="H122" i="6"/>
  <c r="F122" i="6"/>
  <c r="J120" i="6"/>
  <c r="H120" i="6"/>
  <c r="F120" i="6"/>
  <c r="J119" i="6"/>
  <c r="H119" i="6"/>
  <c r="F119" i="6"/>
  <c r="J118" i="6"/>
  <c r="H118" i="6"/>
  <c r="F118" i="6"/>
  <c r="J117" i="6"/>
  <c r="H117" i="6"/>
  <c r="F117" i="6"/>
  <c r="J116" i="6"/>
  <c r="H116" i="6"/>
  <c r="F116" i="6"/>
  <c r="J115" i="6"/>
  <c r="H115" i="6"/>
  <c r="F115" i="6"/>
  <c r="J114" i="6"/>
  <c r="H114" i="6"/>
  <c r="F114" i="6"/>
  <c r="J113" i="6"/>
  <c r="H113" i="6"/>
  <c r="F113" i="6"/>
  <c r="J112" i="6"/>
  <c r="H112" i="6"/>
  <c r="F112" i="6"/>
  <c r="J111" i="6"/>
  <c r="H111" i="6"/>
  <c r="F111" i="6"/>
  <c r="J110" i="6"/>
  <c r="H110" i="6"/>
  <c r="F110" i="6"/>
  <c r="J109" i="6"/>
  <c r="H109" i="6"/>
  <c r="F109" i="6"/>
  <c r="J108" i="6"/>
  <c r="H108" i="6"/>
  <c r="F108" i="6"/>
  <c r="J107" i="6"/>
  <c r="H107" i="6"/>
  <c r="F107" i="6"/>
  <c r="J105" i="6"/>
  <c r="H105" i="6"/>
  <c r="F105" i="6"/>
  <c r="J104" i="6"/>
  <c r="H104" i="6"/>
  <c r="F104" i="6"/>
  <c r="J103" i="6"/>
  <c r="H103" i="6"/>
  <c r="F103" i="6"/>
  <c r="J102" i="6"/>
  <c r="H102" i="6"/>
  <c r="F102" i="6"/>
  <c r="J101" i="6"/>
  <c r="H101" i="6"/>
  <c r="F101" i="6"/>
  <c r="J100" i="6"/>
  <c r="H100" i="6"/>
  <c r="F100" i="6"/>
  <c r="J99" i="6"/>
  <c r="H99" i="6"/>
  <c r="F99" i="6"/>
  <c r="J98" i="6"/>
  <c r="H98" i="6"/>
  <c r="F98" i="6"/>
  <c r="J97" i="6"/>
  <c r="H97" i="6"/>
  <c r="F97" i="6"/>
  <c r="J96" i="6"/>
  <c r="H96" i="6"/>
  <c r="F96" i="6"/>
  <c r="J95" i="6"/>
  <c r="H95" i="6"/>
  <c r="F95" i="6"/>
  <c r="J94" i="6"/>
  <c r="H94" i="6"/>
  <c r="F94" i="6"/>
  <c r="J93" i="6"/>
  <c r="H93" i="6"/>
  <c r="F93" i="6"/>
  <c r="J92" i="6"/>
  <c r="K92" i="6" s="1"/>
  <c r="H92" i="6"/>
  <c r="F92" i="6"/>
  <c r="J91" i="6"/>
  <c r="H91" i="6"/>
  <c r="F91" i="6"/>
  <c r="J89" i="6"/>
  <c r="H89" i="6"/>
  <c r="F89" i="6"/>
  <c r="J88" i="6"/>
  <c r="H88" i="6"/>
  <c r="F88" i="6"/>
  <c r="J87" i="6"/>
  <c r="H87" i="6"/>
  <c r="F87" i="6"/>
  <c r="J86" i="6"/>
  <c r="H86" i="6"/>
  <c r="F86" i="6"/>
  <c r="J85" i="6"/>
  <c r="H85" i="6"/>
  <c r="F85" i="6"/>
  <c r="J84" i="6"/>
  <c r="H84" i="6"/>
  <c r="F84" i="6"/>
  <c r="J83" i="6"/>
  <c r="H83" i="6"/>
  <c r="F83" i="6"/>
  <c r="J82" i="6"/>
  <c r="H82" i="6"/>
  <c r="F82" i="6"/>
  <c r="J81" i="6"/>
  <c r="H81" i="6"/>
  <c r="F81" i="6"/>
  <c r="J80" i="6"/>
  <c r="H80" i="6"/>
  <c r="F80" i="6"/>
  <c r="J79" i="6"/>
  <c r="H79" i="6"/>
  <c r="F79" i="6"/>
  <c r="J78" i="6"/>
  <c r="H78" i="6"/>
  <c r="F78" i="6"/>
  <c r="J77" i="6"/>
  <c r="H77" i="6"/>
  <c r="F77" i="6"/>
  <c r="J76" i="6"/>
  <c r="H76" i="6"/>
  <c r="F76" i="6"/>
  <c r="J75" i="6"/>
  <c r="H75" i="6"/>
  <c r="F75" i="6"/>
  <c r="J74" i="6"/>
  <c r="H74" i="6"/>
  <c r="F74" i="6"/>
  <c r="J73" i="6"/>
  <c r="H73" i="6"/>
  <c r="F73" i="6"/>
  <c r="J72" i="6"/>
  <c r="H72" i="6"/>
  <c r="F72" i="6"/>
  <c r="J71" i="6"/>
  <c r="H71" i="6"/>
  <c r="F71" i="6"/>
  <c r="J70" i="6"/>
  <c r="H70" i="6"/>
  <c r="F70" i="6"/>
  <c r="J69" i="6"/>
  <c r="H69" i="6"/>
  <c r="F69" i="6"/>
  <c r="J67" i="6"/>
  <c r="H67" i="6"/>
  <c r="F67" i="6"/>
  <c r="J66" i="6"/>
  <c r="H66" i="6"/>
  <c r="F66" i="6"/>
  <c r="J65" i="6"/>
  <c r="H65" i="6"/>
  <c r="F65" i="6"/>
  <c r="J64" i="6"/>
  <c r="H64" i="6"/>
  <c r="F64" i="6"/>
  <c r="J63" i="6"/>
  <c r="H63" i="6"/>
  <c r="F63" i="6"/>
  <c r="J62" i="6"/>
  <c r="H62" i="6"/>
  <c r="F62" i="6"/>
  <c r="J61" i="6"/>
  <c r="H61" i="6"/>
  <c r="F61" i="6"/>
  <c r="J60" i="6"/>
  <c r="H60" i="6"/>
  <c r="F60" i="6"/>
  <c r="J59" i="6"/>
  <c r="H59" i="6"/>
  <c r="F59" i="6"/>
  <c r="J58" i="6"/>
  <c r="H58" i="6"/>
  <c r="F58" i="6"/>
  <c r="J57" i="6"/>
  <c r="H57" i="6"/>
  <c r="F57" i="6"/>
  <c r="J56" i="6"/>
  <c r="H56" i="6"/>
  <c r="F56" i="6"/>
  <c r="J55" i="6"/>
  <c r="H55" i="6"/>
  <c r="F55" i="6"/>
  <c r="J54" i="6"/>
  <c r="H54" i="6"/>
  <c r="F54" i="6"/>
  <c r="J53" i="6"/>
  <c r="H53" i="6"/>
  <c r="F53" i="6"/>
  <c r="J52" i="6"/>
  <c r="H52" i="6"/>
  <c r="F52" i="6"/>
  <c r="J51" i="6"/>
  <c r="H51" i="6"/>
  <c r="F51" i="6"/>
  <c r="J50" i="6"/>
  <c r="H50" i="6"/>
  <c r="F50" i="6"/>
  <c r="J49" i="6"/>
  <c r="H49" i="6"/>
  <c r="F49" i="6"/>
  <c r="J48" i="6"/>
  <c r="H48" i="6"/>
  <c r="F48" i="6"/>
  <c r="J47" i="6"/>
  <c r="H47" i="6"/>
  <c r="F47" i="6"/>
  <c r="J46" i="6"/>
  <c r="H46" i="6"/>
  <c r="F46" i="6"/>
  <c r="J45" i="6"/>
  <c r="H45" i="6"/>
  <c r="F45" i="6"/>
  <c r="J43" i="6"/>
  <c r="K43" i="6" s="1"/>
  <c r="H43" i="6"/>
  <c r="F43" i="6"/>
  <c r="J42" i="6"/>
  <c r="H42" i="6"/>
  <c r="F42" i="6"/>
  <c r="J41" i="6"/>
  <c r="H41" i="6"/>
  <c r="F41" i="6"/>
  <c r="J40" i="6"/>
  <c r="H40" i="6"/>
  <c r="F40" i="6"/>
  <c r="J39" i="6"/>
  <c r="H39" i="6"/>
  <c r="F39" i="6"/>
  <c r="J38" i="6"/>
  <c r="H38" i="6"/>
  <c r="F38" i="6"/>
  <c r="J37" i="6"/>
  <c r="H37" i="6"/>
  <c r="F37" i="6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H32" i="6"/>
  <c r="F32" i="6"/>
  <c r="J31" i="6"/>
  <c r="H31" i="6"/>
  <c r="F31" i="6"/>
  <c r="J30" i="6"/>
  <c r="H30" i="6"/>
  <c r="F30" i="6"/>
  <c r="J29" i="6"/>
  <c r="H29" i="6"/>
  <c r="F29" i="6"/>
  <c r="J28" i="6"/>
  <c r="H28" i="6"/>
  <c r="F28" i="6"/>
  <c r="J27" i="6"/>
  <c r="H27" i="6"/>
  <c r="F27" i="6"/>
  <c r="J26" i="6"/>
  <c r="H26" i="6"/>
  <c r="F26" i="6"/>
  <c r="J25" i="6"/>
  <c r="H25" i="6"/>
  <c r="F25" i="6"/>
  <c r="J24" i="6"/>
  <c r="H24" i="6"/>
  <c r="F24" i="6"/>
  <c r="J23" i="6"/>
  <c r="H23" i="6"/>
  <c r="F23" i="6"/>
  <c r="K22" i="6"/>
  <c r="J21" i="6"/>
  <c r="H21" i="6"/>
  <c r="F21" i="6"/>
  <c r="J20" i="6"/>
  <c r="J19" i="6"/>
  <c r="H19" i="6"/>
  <c r="F19" i="6"/>
  <c r="J18" i="6"/>
  <c r="H18" i="6"/>
  <c r="F18" i="6"/>
  <c r="J17" i="6"/>
  <c r="H17" i="6"/>
  <c r="F17" i="6"/>
  <c r="J16" i="6"/>
  <c r="H16" i="6"/>
  <c r="F16" i="6"/>
  <c r="J15" i="6"/>
  <c r="H15" i="6"/>
  <c r="F15" i="6"/>
  <c r="J14" i="6"/>
  <c r="H14" i="6"/>
  <c r="F14" i="6"/>
  <c r="J13" i="6"/>
  <c r="H13" i="6"/>
  <c r="F13" i="6"/>
  <c r="J11" i="6"/>
  <c r="H11" i="6"/>
  <c r="F11" i="6"/>
  <c r="J10" i="6"/>
  <c r="H10" i="6"/>
  <c r="F10" i="6"/>
  <c r="J9" i="6"/>
  <c r="H9" i="6"/>
  <c r="F9" i="6"/>
  <c r="K128" i="6" l="1"/>
  <c r="K47" i="6"/>
  <c r="K75" i="6"/>
  <c r="K151" i="6"/>
  <c r="K168" i="6"/>
  <c r="K177" i="6"/>
  <c r="K185" i="6"/>
  <c r="K73" i="6"/>
  <c r="K26" i="6"/>
  <c r="K42" i="6"/>
  <c r="H311" i="6"/>
  <c r="K25" i="6"/>
  <c r="K31" i="6"/>
  <c r="J311" i="6"/>
  <c r="K35" i="6"/>
  <c r="K40" i="6"/>
  <c r="C312" i="6"/>
  <c r="J312" i="6" s="1"/>
  <c r="J315" i="6" s="1"/>
  <c r="K55" i="6"/>
  <c r="K41" i="6"/>
  <c r="K246" i="6"/>
  <c r="K17" i="6"/>
  <c r="K13" i="6"/>
  <c r="K27" i="6"/>
  <c r="K91" i="6"/>
  <c r="K138" i="6"/>
  <c r="K83" i="6"/>
  <c r="K193" i="6"/>
  <c r="K63" i="6"/>
  <c r="K132" i="6"/>
  <c r="K255" i="6"/>
  <c r="K79" i="6"/>
  <c r="K87" i="6"/>
  <c r="K24" i="6"/>
  <c r="K209" i="6"/>
  <c r="K217" i="6"/>
  <c r="K235" i="6"/>
  <c r="K48" i="6"/>
  <c r="K56" i="6"/>
  <c r="K21" i="6"/>
  <c r="K194" i="6"/>
  <c r="K124" i="6"/>
  <c r="K52" i="6"/>
  <c r="K96" i="6"/>
  <c r="K130" i="6"/>
  <c r="K19" i="6"/>
  <c r="K33" i="6"/>
  <c r="K10" i="6"/>
  <c r="K18" i="6"/>
  <c r="K34" i="6"/>
  <c r="K37" i="6"/>
  <c r="K64" i="6"/>
  <c r="K100" i="6"/>
  <c r="K109" i="6"/>
  <c r="K117" i="6"/>
  <c r="K259" i="6"/>
  <c r="K268" i="6"/>
  <c r="K276" i="6"/>
  <c r="K284" i="6"/>
  <c r="K294" i="6"/>
  <c r="K302" i="6"/>
  <c r="K32" i="6"/>
  <c r="K81" i="6"/>
  <c r="K89" i="6"/>
  <c r="K126" i="6"/>
  <c r="K134" i="6"/>
  <c r="K23" i="6"/>
  <c r="K46" i="6"/>
  <c r="K54" i="6"/>
  <c r="K62" i="6"/>
  <c r="K71" i="6"/>
  <c r="K98" i="6"/>
  <c r="K107" i="6"/>
  <c r="K115" i="6"/>
  <c r="K202" i="6"/>
  <c r="K60" i="6"/>
  <c r="K69" i="6"/>
  <c r="K104" i="6"/>
  <c r="K113" i="6"/>
  <c r="K122" i="6"/>
  <c r="K129" i="6"/>
  <c r="K263" i="6"/>
  <c r="K15" i="6"/>
  <c r="K77" i="6"/>
  <c r="K85" i="6"/>
  <c r="K197" i="6"/>
  <c r="K29" i="6"/>
  <c r="K39" i="6"/>
  <c r="K50" i="6"/>
  <c r="K58" i="6"/>
  <c r="K66" i="6"/>
  <c r="K74" i="6"/>
  <c r="K94" i="6"/>
  <c r="K102" i="6"/>
  <c r="K111" i="6"/>
  <c r="K119" i="6"/>
  <c r="K155" i="6"/>
  <c r="K172" i="6"/>
  <c r="K190" i="6"/>
  <c r="K226" i="6"/>
  <c r="K14" i="6"/>
  <c r="K36" i="6"/>
  <c r="K65" i="6"/>
  <c r="K112" i="6"/>
  <c r="K120" i="6"/>
  <c r="K215" i="6"/>
  <c r="K223" i="6"/>
  <c r="K233" i="6"/>
  <c r="K242" i="6"/>
  <c r="K250" i="6"/>
  <c r="K213" i="6"/>
  <c r="K221" i="6"/>
  <c r="K230" i="6"/>
  <c r="K239" i="6"/>
  <c r="K248" i="6"/>
  <c r="K257" i="6"/>
  <c r="K266" i="6"/>
  <c r="K274" i="6"/>
  <c r="K282" i="6"/>
  <c r="K292" i="6"/>
  <c r="K300" i="6"/>
  <c r="K309" i="6"/>
  <c r="K30" i="6"/>
  <c r="K28" i="6"/>
  <c r="K166" i="6"/>
  <c r="K272" i="6"/>
  <c r="K280" i="6"/>
  <c r="K289" i="6"/>
  <c r="K298" i="6"/>
  <c r="K306" i="6"/>
  <c r="K313" i="6"/>
  <c r="K244" i="6"/>
  <c r="K252" i="6"/>
  <c r="K261" i="6"/>
  <c r="K270" i="6"/>
  <c r="K278" i="6"/>
  <c r="K287" i="6"/>
  <c r="K296" i="6"/>
  <c r="K304" i="6"/>
  <c r="K16" i="6"/>
  <c r="K38" i="6"/>
  <c r="K141" i="6"/>
  <c r="K181" i="6"/>
  <c r="K311" i="6"/>
  <c r="K206" i="6"/>
  <c r="K204" i="6"/>
  <c r="K200" i="6"/>
  <c r="K198" i="6"/>
  <c r="K196" i="6"/>
  <c r="K192" i="6"/>
  <c r="K187" i="6"/>
  <c r="K183" i="6"/>
  <c r="K180" i="6"/>
  <c r="K179" i="6"/>
  <c r="K176" i="6"/>
  <c r="K175" i="6"/>
  <c r="K170" i="6"/>
  <c r="K164" i="6"/>
  <c r="K163" i="6"/>
  <c r="K162" i="6"/>
  <c r="K159" i="6"/>
  <c r="K158" i="6"/>
  <c r="K157" i="6"/>
  <c r="K153" i="6"/>
  <c r="K149" i="6"/>
  <c r="K147" i="6"/>
  <c r="K146" i="6"/>
  <c r="K145" i="6"/>
  <c r="K143" i="6"/>
  <c r="K140" i="6"/>
  <c r="K136" i="6"/>
  <c r="K133" i="6"/>
  <c r="K131" i="6"/>
  <c r="K127" i="6"/>
  <c r="K125" i="6"/>
  <c r="K123" i="6"/>
  <c r="K118" i="6"/>
  <c r="K116" i="6"/>
  <c r="K114" i="6"/>
  <c r="K110" i="6"/>
  <c r="K108" i="6"/>
  <c r="K105" i="6"/>
  <c r="K103" i="6"/>
  <c r="K101" i="6"/>
  <c r="K99" i="6"/>
  <c r="K97" i="6"/>
  <c r="K95" i="6"/>
  <c r="K93" i="6"/>
  <c r="K88" i="6"/>
  <c r="K86" i="6"/>
  <c r="K84" i="6"/>
  <c r="K82" i="6"/>
  <c r="K80" i="6"/>
  <c r="K78" i="6"/>
  <c r="K76" i="6"/>
  <c r="K72" i="6"/>
  <c r="K70" i="6"/>
  <c r="K67" i="6"/>
  <c r="K61" i="6"/>
  <c r="K59" i="6"/>
  <c r="K57" i="6"/>
  <c r="K53" i="6"/>
  <c r="K51" i="6"/>
  <c r="K49" i="6"/>
  <c r="K45" i="6"/>
  <c r="K11" i="6"/>
  <c r="K9" i="6"/>
  <c r="N73" i="11"/>
  <c r="M206" i="11"/>
  <c r="K144" i="6"/>
  <c r="K161" i="6"/>
  <c r="K178" i="6"/>
  <c r="K195" i="6"/>
  <c r="K208" i="6"/>
  <c r="K216" i="6"/>
  <c r="K225" i="6"/>
  <c r="K234" i="6"/>
  <c r="K243" i="6"/>
  <c r="K251" i="6"/>
  <c r="K260" i="6"/>
  <c r="K269" i="6"/>
  <c r="K277" i="6"/>
  <c r="K286" i="6"/>
  <c r="K295" i="6"/>
  <c r="K303" i="6"/>
  <c r="K231" i="6"/>
  <c r="K240" i="6"/>
  <c r="K267" i="6"/>
  <c r="K275" i="6"/>
  <c r="K293" i="6"/>
  <c r="K301" i="6"/>
  <c r="K310" i="6"/>
  <c r="K137" i="6"/>
  <c r="K154" i="6"/>
  <c r="K171" i="6"/>
  <c r="K189" i="6"/>
  <c r="K173" i="6"/>
  <c r="K191" i="6"/>
  <c r="K249" i="6"/>
  <c r="K283" i="6"/>
  <c r="K135" i="6"/>
  <c r="K152" i="6"/>
  <c r="K169" i="6"/>
  <c r="K186" i="6"/>
  <c r="K203" i="6"/>
  <c r="K212" i="6"/>
  <c r="K220" i="6"/>
  <c r="K229" i="6"/>
  <c r="K238" i="6"/>
  <c r="K247" i="6"/>
  <c r="K256" i="6"/>
  <c r="K264" i="6"/>
  <c r="K273" i="6"/>
  <c r="K281" i="6"/>
  <c r="K290" i="6"/>
  <c r="K299" i="6"/>
  <c r="K308" i="6"/>
  <c r="K156" i="6"/>
  <c r="K205" i="6"/>
  <c r="K214" i="6"/>
  <c r="K150" i="6"/>
  <c r="K167" i="6"/>
  <c r="K184" i="6"/>
  <c r="K201" i="6"/>
  <c r="K139" i="6"/>
  <c r="K222" i="6"/>
  <c r="K258" i="6"/>
  <c r="K148" i="6"/>
  <c r="K165" i="6"/>
  <c r="K182" i="6"/>
  <c r="K199" i="6"/>
  <c r="K210" i="6"/>
  <c r="K218" i="6"/>
  <c r="K227" i="6"/>
  <c r="K236" i="6"/>
  <c r="K245" i="6"/>
  <c r="K253" i="6"/>
  <c r="K262" i="6"/>
  <c r="K271" i="6"/>
  <c r="K279" i="6"/>
  <c r="K288" i="6"/>
  <c r="K297" i="6"/>
  <c r="K305" i="6"/>
  <c r="F312" i="6" l="1"/>
  <c r="F315" i="6" s="1"/>
  <c r="H312" i="6"/>
  <c r="H315" i="6" s="1"/>
  <c r="H206" i="11"/>
  <c r="H207" i="11" s="1"/>
  <c r="M207" i="11" s="1"/>
  <c r="M208" i="11" s="1"/>
  <c r="M209" i="11" s="1"/>
  <c r="M210" i="11" s="1"/>
  <c r="M211" i="11" s="1"/>
  <c r="M212" i="11" s="1"/>
  <c r="M213" i="11" s="1"/>
  <c r="M214" i="11" s="1"/>
  <c r="M215" i="11" s="1"/>
  <c r="K315" i="6"/>
  <c r="K312" i="6"/>
  <c r="K316" i="6" l="1"/>
  <c r="K317" i="6" s="1"/>
  <c r="K318" i="6" s="1"/>
  <c r="K319" i="6" s="1"/>
  <c r="K320" i="6" s="1"/>
  <c r="K321" i="6" s="1"/>
  <c r="K322" i="6" s="1"/>
  <c r="J67" i="5" l="1"/>
  <c r="H67" i="5"/>
  <c r="F67" i="5"/>
  <c r="J66" i="5"/>
  <c r="H66" i="5"/>
  <c r="F66" i="5"/>
  <c r="J65" i="5"/>
  <c r="H65" i="5"/>
  <c r="F65" i="5"/>
  <c r="J64" i="5"/>
  <c r="H64" i="5"/>
  <c r="F64" i="5"/>
  <c r="J63" i="5"/>
  <c r="H63" i="5"/>
  <c r="F63" i="5"/>
  <c r="J62" i="5"/>
  <c r="H62" i="5"/>
  <c r="F62" i="5"/>
  <c r="J61" i="5"/>
  <c r="H61" i="5"/>
  <c r="F61" i="5"/>
  <c r="J60" i="5"/>
  <c r="H60" i="5"/>
  <c r="F60" i="5"/>
  <c r="J59" i="5"/>
  <c r="H59" i="5"/>
  <c r="F59" i="5"/>
  <c r="J58" i="5"/>
  <c r="H58" i="5"/>
  <c r="F58" i="5"/>
  <c r="J56" i="5"/>
  <c r="H56" i="5"/>
  <c r="F56" i="5"/>
  <c r="J55" i="5"/>
  <c r="H55" i="5"/>
  <c r="F55" i="5"/>
  <c r="J54" i="5"/>
  <c r="H54" i="5"/>
  <c r="F54" i="5"/>
  <c r="J53" i="5"/>
  <c r="H53" i="5"/>
  <c r="F53" i="5"/>
  <c r="J52" i="5"/>
  <c r="H52" i="5"/>
  <c r="F52" i="5"/>
  <c r="J51" i="5"/>
  <c r="H51" i="5"/>
  <c r="F51" i="5"/>
  <c r="J50" i="5"/>
  <c r="H50" i="5"/>
  <c r="F50" i="5"/>
  <c r="J49" i="5"/>
  <c r="H49" i="5"/>
  <c r="F49" i="5"/>
  <c r="J48" i="5"/>
  <c r="H48" i="5"/>
  <c r="F48" i="5"/>
  <c r="J47" i="5"/>
  <c r="H47" i="5"/>
  <c r="F47" i="5"/>
  <c r="J46" i="5"/>
  <c r="H46" i="5"/>
  <c r="F46" i="5"/>
  <c r="J44" i="5"/>
  <c r="H44" i="5"/>
  <c r="F44" i="5"/>
  <c r="J43" i="5"/>
  <c r="H43" i="5"/>
  <c r="F43" i="5"/>
  <c r="J42" i="5"/>
  <c r="H42" i="5"/>
  <c r="F42" i="5"/>
  <c r="J41" i="5"/>
  <c r="H41" i="5"/>
  <c r="F41" i="5"/>
  <c r="J40" i="5"/>
  <c r="H40" i="5"/>
  <c r="F40" i="5"/>
  <c r="J39" i="5"/>
  <c r="H39" i="5"/>
  <c r="F39" i="5"/>
  <c r="J38" i="5"/>
  <c r="H38" i="5"/>
  <c r="F38" i="5"/>
  <c r="J37" i="5"/>
  <c r="H37" i="5"/>
  <c r="F37" i="5"/>
  <c r="J35" i="5"/>
  <c r="H35" i="5"/>
  <c r="F35" i="5"/>
  <c r="J34" i="5"/>
  <c r="H34" i="5"/>
  <c r="F34" i="5"/>
  <c r="J33" i="5"/>
  <c r="H33" i="5"/>
  <c r="F33" i="5"/>
  <c r="J32" i="5"/>
  <c r="H32" i="5"/>
  <c r="F32" i="5"/>
  <c r="J31" i="5"/>
  <c r="H31" i="5"/>
  <c r="F31" i="5"/>
  <c r="J30" i="5"/>
  <c r="H30" i="5"/>
  <c r="F30" i="5"/>
  <c r="J29" i="5"/>
  <c r="H29" i="5"/>
  <c r="F29" i="5"/>
  <c r="J28" i="5"/>
  <c r="H28" i="5"/>
  <c r="F28" i="5"/>
  <c r="J27" i="5"/>
  <c r="H27" i="5"/>
  <c r="F27" i="5"/>
  <c r="J26" i="5"/>
  <c r="H26" i="5"/>
  <c r="F26" i="5"/>
  <c r="J25" i="5"/>
  <c r="H25" i="5"/>
  <c r="F25" i="5"/>
  <c r="J23" i="5"/>
  <c r="H23" i="5"/>
  <c r="F23" i="5"/>
  <c r="J22" i="5"/>
  <c r="H22" i="5"/>
  <c r="F22" i="5"/>
  <c r="J21" i="5"/>
  <c r="H21" i="5"/>
  <c r="F21" i="5"/>
  <c r="J20" i="5"/>
  <c r="H20" i="5"/>
  <c r="F20" i="5"/>
  <c r="J19" i="5"/>
  <c r="H19" i="5"/>
  <c r="F19" i="5"/>
  <c r="J18" i="5"/>
  <c r="H18" i="5"/>
  <c r="F18" i="5"/>
  <c r="J17" i="5"/>
  <c r="H17" i="5"/>
  <c r="F1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J11" i="5"/>
  <c r="H11" i="5"/>
  <c r="F11" i="5"/>
  <c r="J10" i="5"/>
  <c r="H10" i="5"/>
  <c r="F10" i="5"/>
  <c r="J9" i="5"/>
  <c r="H9" i="5"/>
  <c r="F9" i="5"/>
  <c r="F156" i="4"/>
  <c r="H156" i="4" s="1"/>
  <c r="M156" i="4" s="1"/>
  <c r="F155" i="4"/>
  <c r="H155" i="4" s="1"/>
  <c r="M155" i="4" s="1"/>
  <c r="L154" i="4"/>
  <c r="M154" i="4" s="1"/>
  <c r="F154" i="4"/>
  <c r="F153" i="4"/>
  <c r="J153" i="4" s="1"/>
  <c r="M153" i="4" s="1"/>
  <c r="F151" i="4"/>
  <c r="H151" i="4" s="1"/>
  <c r="M151" i="4" s="1"/>
  <c r="E151" i="4"/>
  <c r="F150" i="4"/>
  <c r="H150" i="4" s="1"/>
  <c r="M150" i="4" s="1"/>
  <c r="F149" i="4"/>
  <c r="L149" i="4" s="1"/>
  <c r="M149" i="4" s="1"/>
  <c r="F148" i="4"/>
  <c r="J148" i="4" s="1"/>
  <c r="M148" i="4" s="1"/>
  <c r="M144" i="4"/>
  <c r="H144" i="4"/>
  <c r="H143" i="4"/>
  <c r="M143" i="4" s="1"/>
  <c r="H142" i="4"/>
  <c r="M142" i="4" s="1"/>
  <c r="F141" i="4"/>
  <c r="L141" i="4" s="1"/>
  <c r="M141" i="4" s="1"/>
  <c r="F139" i="4"/>
  <c r="F140" i="4" s="1"/>
  <c r="J140" i="4" s="1"/>
  <c r="M140" i="4" s="1"/>
  <c r="F138" i="4"/>
  <c r="H138" i="4" s="1"/>
  <c r="M138" i="4" s="1"/>
  <c r="F137" i="4"/>
  <c r="H137" i="4" s="1"/>
  <c r="M137" i="4" s="1"/>
  <c r="H136" i="4"/>
  <c r="M136" i="4" s="1"/>
  <c r="F136" i="4"/>
  <c r="F135" i="4"/>
  <c r="H135" i="4" s="1"/>
  <c r="M135" i="4" s="1"/>
  <c r="H134" i="4"/>
  <c r="M134" i="4" s="1"/>
  <c r="F134" i="4"/>
  <c r="F133" i="4"/>
  <c r="H133" i="4" s="1"/>
  <c r="M133" i="4" s="1"/>
  <c r="H132" i="4"/>
  <c r="M132" i="4" s="1"/>
  <c r="F132" i="4"/>
  <c r="F129" i="4" s="1"/>
  <c r="F130" i="4" s="1"/>
  <c r="J130" i="4" s="1"/>
  <c r="M130" i="4" s="1"/>
  <c r="M131" i="4"/>
  <c r="H131" i="4"/>
  <c r="F128" i="4"/>
  <c r="H128" i="4" s="1"/>
  <c r="M128" i="4" s="1"/>
  <c r="F127" i="4"/>
  <c r="H127" i="4" s="1"/>
  <c r="M127" i="4" s="1"/>
  <c r="F126" i="4"/>
  <c r="L126" i="4" s="1"/>
  <c r="M126" i="4" s="1"/>
  <c r="F125" i="4"/>
  <c r="J125" i="4" s="1"/>
  <c r="M125" i="4" s="1"/>
  <c r="H122" i="4"/>
  <c r="M122" i="4" s="1"/>
  <c r="F122" i="4"/>
  <c r="F121" i="4"/>
  <c r="H121" i="4" s="1"/>
  <c r="M121" i="4" s="1"/>
  <c r="F120" i="4"/>
  <c r="H120" i="4" s="1"/>
  <c r="M120" i="4" s="1"/>
  <c r="F119" i="4"/>
  <c r="H119" i="4" s="1"/>
  <c r="M119" i="4" s="1"/>
  <c r="H118" i="4"/>
  <c r="M118" i="4" s="1"/>
  <c r="F118" i="4"/>
  <c r="F117" i="4"/>
  <c r="H117" i="4" s="1"/>
  <c r="M117" i="4" s="1"/>
  <c r="H116" i="4"/>
  <c r="M116" i="4" s="1"/>
  <c r="F116" i="4"/>
  <c r="H115" i="4"/>
  <c r="M115" i="4" s="1"/>
  <c r="F114" i="4"/>
  <c r="H114" i="4" s="1"/>
  <c r="M114" i="4" s="1"/>
  <c r="H113" i="4"/>
  <c r="M113" i="4" s="1"/>
  <c r="F113" i="4"/>
  <c r="F112" i="4"/>
  <c r="H112" i="4" s="1"/>
  <c r="M112" i="4" s="1"/>
  <c r="H111" i="4"/>
  <c r="M111" i="4" s="1"/>
  <c r="F111" i="4"/>
  <c r="H110" i="4"/>
  <c r="M110" i="4" s="1"/>
  <c r="F110" i="4"/>
  <c r="F109" i="4"/>
  <c r="H109" i="4" s="1"/>
  <c r="M109" i="4" s="1"/>
  <c r="F108" i="4"/>
  <c r="H108" i="4" s="1"/>
  <c r="M108" i="4" s="1"/>
  <c r="H107" i="4"/>
  <c r="M107" i="4" s="1"/>
  <c r="H106" i="4"/>
  <c r="M106" i="4" s="1"/>
  <c r="F106" i="4"/>
  <c r="F105" i="4"/>
  <c r="F101" i="4" s="1"/>
  <c r="H104" i="4"/>
  <c r="M104" i="4" s="1"/>
  <c r="H99" i="4"/>
  <c r="M99" i="4" s="1"/>
  <c r="F99" i="4"/>
  <c r="H98" i="4"/>
  <c r="M98" i="4" s="1"/>
  <c r="F98" i="4"/>
  <c r="H97" i="4"/>
  <c r="M97" i="4" s="1"/>
  <c r="F97" i="4"/>
  <c r="F96" i="4"/>
  <c r="H96" i="4" s="1"/>
  <c r="M96" i="4" s="1"/>
  <c r="H95" i="4"/>
  <c r="M95" i="4" s="1"/>
  <c r="F95" i="4"/>
  <c r="F94" i="4"/>
  <c r="H94" i="4" s="1"/>
  <c r="M94" i="4" s="1"/>
  <c r="H93" i="4"/>
  <c r="M93" i="4" s="1"/>
  <c r="F93" i="4"/>
  <c r="F92" i="4"/>
  <c r="H92" i="4" s="1"/>
  <c r="M92" i="4" s="1"/>
  <c r="H91" i="4"/>
  <c r="M91" i="4" s="1"/>
  <c r="F91" i="4"/>
  <c r="H90" i="4"/>
  <c r="M90" i="4" s="1"/>
  <c r="H89" i="4"/>
  <c r="M89" i="4" s="1"/>
  <c r="F88" i="4"/>
  <c r="H88" i="4" s="1"/>
  <c r="M88" i="4" s="1"/>
  <c r="H87" i="4"/>
  <c r="M87" i="4" s="1"/>
  <c r="F87" i="4"/>
  <c r="H86" i="4"/>
  <c r="M86" i="4" s="1"/>
  <c r="F86" i="4"/>
  <c r="H85" i="4"/>
  <c r="M85" i="4" s="1"/>
  <c r="F85" i="4"/>
  <c r="H84" i="4"/>
  <c r="M84" i="4" s="1"/>
  <c r="F84" i="4"/>
  <c r="H83" i="4"/>
  <c r="M83" i="4" s="1"/>
  <c r="F83" i="4"/>
  <c r="H82" i="4"/>
  <c r="M82" i="4" s="1"/>
  <c r="H81" i="4"/>
  <c r="M81" i="4" s="1"/>
  <c r="F81" i="4"/>
  <c r="F80" i="4"/>
  <c r="H80" i="4" s="1"/>
  <c r="M80" i="4" s="1"/>
  <c r="F79" i="4"/>
  <c r="H79" i="4" s="1"/>
  <c r="M79" i="4" s="1"/>
  <c r="H78" i="4"/>
  <c r="M78" i="4" s="1"/>
  <c r="F78" i="4"/>
  <c r="F77" i="4"/>
  <c r="H77" i="4" s="1"/>
  <c r="M77" i="4" s="1"/>
  <c r="H76" i="4"/>
  <c r="M76" i="4" s="1"/>
  <c r="F76" i="4"/>
  <c r="H75" i="4"/>
  <c r="M75" i="4" s="1"/>
  <c r="F75" i="4"/>
  <c r="H74" i="4"/>
  <c r="M74" i="4" s="1"/>
  <c r="H73" i="4"/>
  <c r="M73" i="4" s="1"/>
  <c r="F73" i="4"/>
  <c r="H72" i="4"/>
  <c r="M72" i="4" s="1"/>
  <c r="F71" i="4"/>
  <c r="H71" i="4" s="1"/>
  <c r="M71" i="4" s="1"/>
  <c r="H70" i="4"/>
  <c r="M70" i="4" s="1"/>
  <c r="F70" i="4"/>
  <c r="H69" i="4"/>
  <c r="M69" i="4" s="1"/>
  <c r="F69" i="4"/>
  <c r="H68" i="4"/>
  <c r="M68" i="4" s="1"/>
  <c r="F68" i="4"/>
  <c r="F67" i="4"/>
  <c r="H67" i="4" s="1"/>
  <c r="M67" i="4" s="1"/>
  <c r="F66" i="4"/>
  <c r="H66" i="4" s="1"/>
  <c r="M66" i="4" s="1"/>
  <c r="F65" i="4"/>
  <c r="H65" i="4" s="1"/>
  <c r="M65" i="4" s="1"/>
  <c r="H64" i="4"/>
  <c r="M64" i="4" s="1"/>
  <c r="F64" i="4"/>
  <c r="F63" i="4"/>
  <c r="H63" i="4" s="1"/>
  <c r="M63" i="4" s="1"/>
  <c r="H62" i="4"/>
  <c r="M62" i="4" s="1"/>
  <c r="F62" i="4"/>
  <c r="M61" i="4"/>
  <c r="H61" i="4"/>
  <c r="F61" i="4"/>
  <c r="H60" i="4"/>
  <c r="M60" i="4" s="1"/>
  <c r="H59" i="4"/>
  <c r="M59" i="4" s="1"/>
  <c r="F54" i="4"/>
  <c r="H54" i="4" s="1"/>
  <c r="M54" i="4" s="1"/>
  <c r="F50" i="4"/>
  <c r="F53" i="4" s="1"/>
  <c r="H53" i="4" s="1"/>
  <c r="M53" i="4" s="1"/>
  <c r="F48" i="4"/>
  <c r="H48" i="4" s="1"/>
  <c r="M48" i="4" s="1"/>
  <c r="F45" i="4"/>
  <c r="F44" i="4"/>
  <c r="F47" i="4" s="1"/>
  <c r="H47" i="4" s="1"/>
  <c r="M47" i="4" s="1"/>
  <c r="H42" i="4"/>
  <c r="M42" i="4" s="1"/>
  <c r="F42" i="4"/>
  <c r="F38" i="4"/>
  <c r="F39" i="4" s="1"/>
  <c r="F36" i="4"/>
  <c r="H36" i="4" s="1"/>
  <c r="M36" i="4" s="1"/>
  <c r="F34" i="4"/>
  <c r="L34" i="4" s="1"/>
  <c r="M34" i="4" s="1"/>
  <c r="F33" i="4"/>
  <c r="F32" i="4"/>
  <c r="F35" i="4" s="1"/>
  <c r="H35" i="4" s="1"/>
  <c r="M35" i="4" s="1"/>
  <c r="F31" i="4"/>
  <c r="H31" i="4" s="1"/>
  <c r="M31" i="4" s="1"/>
  <c r="H30" i="4"/>
  <c r="M30" i="4" s="1"/>
  <c r="F30" i="4"/>
  <c r="F28" i="4"/>
  <c r="L28" i="4" s="1"/>
  <c r="M28" i="4" s="1"/>
  <c r="F26" i="4"/>
  <c r="F27" i="4" s="1"/>
  <c r="F25" i="4"/>
  <c r="H25" i="4" s="1"/>
  <c r="M25" i="4" s="1"/>
  <c r="F24" i="4"/>
  <c r="H24" i="4" s="1"/>
  <c r="M24" i="4" s="1"/>
  <c r="F22" i="4"/>
  <c r="L22" i="4" s="1"/>
  <c r="M22" i="4" s="1"/>
  <c r="F20" i="4"/>
  <c r="F21" i="4" s="1"/>
  <c r="F19" i="4"/>
  <c r="H19" i="4" s="1"/>
  <c r="M19" i="4" s="1"/>
  <c r="H18" i="4"/>
  <c r="M18" i="4" s="1"/>
  <c r="F18" i="4"/>
  <c r="F14" i="4"/>
  <c r="F16" i="4" s="1"/>
  <c r="L16" i="4" s="1"/>
  <c r="M16" i="4" s="1"/>
  <c r="F13" i="4"/>
  <c r="H13" i="4" s="1"/>
  <c r="M13" i="4" s="1"/>
  <c r="H12" i="4"/>
  <c r="M12" i="4" s="1"/>
  <c r="F11" i="4"/>
  <c r="H11" i="4" s="1"/>
  <c r="F10" i="4"/>
  <c r="L10" i="4" s="1"/>
  <c r="F9" i="4"/>
  <c r="J9" i="4" s="1"/>
  <c r="F157" i="3"/>
  <c r="H157" i="3" s="1"/>
  <c r="M157" i="3" s="1"/>
  <c r="F156" i="3"/>
  <c r="H156" i="3" s="1"/>
  <c r="M156" i="3" s="1"/>
  <c r="F155" i="3"/>
  <c r="L155" i="3" s="1"/>
  <c r="M155" i="3" s="1"/>
  <c r="F154" i="3"/>
  <c r="J154" i="3" s="1"/>
  <c r="M154" i="3" s="1"/>
  <c r="F152" i="3"/>
  <c r="H152" i="3" s="1"/>
  <c r="M152" i="3" s="1"/>
  <c r="F151" i="3"/>
  <c r="H151" i="3" s="1"/>
  <c r="M151" i="3" s="1"/>
  <c r="F150" i="3"/>
  <c r="L150" i="3" s="1"/>
  <c r="M150" i="3" s="1"/>
  <c r="F149" i="3"/>
  <c r="J149" i="3" s="1"/>
  <c r="M149" i="3" s="1"/>
  <c r="F147" i="3"/>
  <c r="H147" i="3" s="1"/>
  <c r="M147" i="3" s="1"/>
  <c r="F146" i="3"/>
  <c r="H146" i="3" s="1"/>
  <c r="M146" i="3" s="1"/>
  <c r="F145" i="3"/>
  <c r="L145" i="3" s="1"/>
  <c r="M145" i="3" s="1"/>
  <c r="F144" i="3"/>
  <c r="J144" i="3" s="1"/>
  <c r="M144" i="3" s="1"/>
  <c r="F141" i="3"/>
  <c r="H141" i="3" s="1"/>
  <c r="M141" i="3" s="1"/>
  <c r="F140" i="3"/>
  <c r="H140" i="3" s="1"/>
  <c r="M140" i="3" s="1"/>
  <c r="F139" i="3"/>
  <c r="L139" i="3" s="1"/>
  <c r="M139" i="3" s="1"/>
  <c r="F138" i="3"/>
  <c r="J138" i="3" s="1"/>
  <c r="M138" i="3" s="1"/>
  <c r="F136" i="3"/>
  <c r="H136" i="3" s="1"/>
  <c r="M136" i="3" s="1"/>
  <c r="H135" i="3"/>
  <c r="M135" i="3" s="1"/>
  <c r="H134" i="3"/>
  <c r="M134" i="3" s="1"/>
  <c r="F133" i="3"/>
  <c r="L133" i="3" s="1"/>
  <c r="M133" i="3" s="1"/>
  <c r="F132" i="3"/>
  <c r="J132" i="3" s="1"/>
  <c r="M132" i="3" s="1"/>
  <c r="F130" i="3"/>
  <c r="H130" i="3" s="1"/>
  <c r="M130" i="3" s="1"/>
  <c r="F129" i="3"/>
  <c r="H129" i="3" s="1"/>
  <c r="M129" i="3" s="1"/>
  <c r="H128" i="3"/>
  <c r="M128" i="3" s="1"/>
  <c r="F127" i="3"/>
  <c r="L127" i="3" s="1"/>
  <c r="M127" i="3" s="1"/>
  <c r="F126" i="3"/>
  <c r="J126" i="3" s="1"/>
  <c r="M126" i="3" s="1"/>
  <c r="F124" i="3"/>
  <c r="H124" i="3" s="1"/>
  <c r="M124" i="3" s="1"/>
  <c r="F123" i="3"/>
  <c r="H123" i="3" s="1"/>
  <c r="M123" i="3" s="1"/>
  <c r="H122" i="3"/>
  <c r="M122" i="3" s="1"/>
  <c r="F121" i="3"/>
  <c r="H121" i="3" s="1"/>
  <c r="M121" i="3" s="1"/>
  <c r="F120" i="3"/>
  <c r="L120" i="3" s="1"/>
  <c r="M120" i="3" s="1"/>
  <c r="F118" i="3"/>
  <c r="F119" i="3" s="1"/>
  <c r="J119" i="3" s="1"/>
  <c r="M119" i="3" s="1"/>
  <c r="F117" i="3"/>
  <c r="H117" i="3" s="1"/>
  <c r="M117" i="3" s="1"/>
  <c r="F116" i="3"/>
  <c r="H116" i="3" s="1"/>
  <c r="M116" i="3" s="1"/>
  <c r="F115" i="3"/>
  <c r="H115" i="3" s="1"/>
  <c r="M115" i="3" s="1"/>
  <c r="F114" i="3"/>
  <c r="L114" i="3" s="1"/>
  <c r="M114" i="3" s="1"/>
  <c r="F113" i="3"/>
  <c r="J113" i="3" s="1"/>
  <c r="M113" i="3" s="1"/>
  <c r="F111" i="3"/>
  <c r="H111" i="3" s="1"/>
  <c r="M111" i="3" s="1"/>
  <c r="F108" i="3"/>
  <c r="L108" i="3" s="1"/>
  <c r="M108" i="3" s="1"/>
  <c r="F106" i="3"/>
  <c r="F110" i="3" s="1"/>
  <c r="H110" i="3" s="1"/>
  <c r="M110" i="3" s="1"/>
  <c r="F104" i="3"/>
  <c r="H104" i="3" s="1"/>
  <c r="M104" i="3" s="1"/>
  <c r="F103" i="3"/>
  <c r="H103" i="3" s="1"/>
  <c r="M103" i="3" s="1"/>
  <c r="F102" i="3"/>
  <c r="L102" i="3" s="1"/>
  <c r="M102" i="3" s="1"/>
  <c r="F101" i="3"/>
  <c r="J101" i="3" s="1"/>
  <c r="M101" i="3" s="1"/>
  <c r="F99" i="3"/>
  <c r="H99" i="3" s="1"/>
  <c r="M99" i="3" s="1"/>
  <c r="F98" i="3"/>
  <c r="H98" i="3" s="1"/>
  <c r="M98" i="3" s="1"/>
  <c r="H97" i="3"/>
  <c r="M97" i="3" s="1"/>
  <c r="F95" i="3"/>
  <c r="F96" i="3" s="1"/>
  <c r="J96" i="3" s="1"/>
  <c r="M96" i="3" s="1"/>
  <c r="F94" i="3"/>
  <c r="H94" i="3" s="1"/>
  <c r="M94" i="3" s="1"/>
  <c r="F93" i="3"/>
  <c r="H93" i="3" s="1"/>
  <c r="M93" i="3" s="1"/>
  <c r="F92" i="3"/>
  <c r="L92" i="3" s="1"/>
  <c r="M92" i="3" s="1"/>
  <c r="F91" i="3"/>
  <c r="J91" i="3" s="1"/>
  <c r="M91" i="3" s="1"/>
  <c r="F88" i="3"/>
  <c r="H88" i="3" s="1"/>
  <c r="M88" i="3" s="1"/>
  <c r="F87" i="3"/>
  <c r="L87" i="3" s="1"/>
  <c r="M87" i="3" s="1"/>
  <c r="F85" i="3"/>
  <c r="F89" i="3" s="1"/>
  <c r="H89" i="3" s="1"/>
  <c r="M89" i="3" s="1"/>
  <c r="F80" i="3"/>
  <c r="F83" i="3" s="1"/>
  <c r="H83" i="3" s="1"/>
  <c r="M83" i="3" s="1"/>
  <c r="F78" i="3"/>
  <c r="H78" i="3" s="1"/>
  <c r="M78" i="3" s="1"/>
  <c r="F75" i="3"/>
  <c r="F77" i="3" s="1"/>
  <c r="L77" i="3" s="1"/>
  <c r="M77" i="3" s="1"/>
  <c r="F72" i="3"/>
  <c r="L72" i="3" s="1"/>
  <c r="M72" i="3" s="1"/>
  <c r="F70" i="3"/>
  <c r="F74" i="3" s="1"/>
  <c r="H74" i="3" s="1"/>
  <c r="M74" i="3" s="1"/>
  <c r="F68" i="3"/>
  <c r="H68" i="3" s="1"/>
  <c r="M68" i="3" s="1"/>
  <c r="H63" i="3"/>
  <c r="M63" i="3" s="1"/>
  <c r="H62" i="3"/>
  <c r="M62" i="3" s="1"/>
  <c r="F61" i="3"/>
  <c r="H61" i="3" s="1"/>
  <c r="M61" i="3" s="1"/>
  <c r="H60" i="3"/>
  <c r="M60" i="3" s="1"/>
  <c r="H59" i="3"/>
  <c r="M59" i="3" s="1"/>
  <c r="F58" i="3"/>
  <c r="H58" i="3" s="1"/>
  <c r="M58" i="3" s="1"/>
  <c r="H57" i="3"/>
  <c r="M57" i="3" s="1"/>
  <c r="H56" i="3"/>
  <c r="M56" i="3" s="1"/>
  <c r="H55" i="3"/>
  <c r="M55" i="3" s="1"/>
  <c r="H54" i="3"/>
  <c r="M54" i="3" s="1"/>
  <c r="H53" i="3"/>
  <c r="M53" i="3" s="1"/>
  <c r="F52" i="3"/>
  <c r="H52" i="3" s="1"/>
  <c r="M52" i="3" s="1"/>
  <c r="F51" i="3"/>
  <c r="H51" i="3" s="1"/>
  <c r="M51" i="3" s="1"/>
  <c r="F50" i="3"/>
  <c r="H50" i="3" s="1"/>
  <c r="M50" i="3" s="1"/>
  <c r="F49" i="3"/>
  <c r="H49" i="3" s="1"/>
  <c r="M49" i="3" s="1"/>
  <c r="F48" i="3"/>
  <c r="H48" i="3" s="1"/>
  <c r="M48" i="3" s="1"/>
  <c r="F47" i="3"/>
  <c r="H47" i="3" s="1"/>
  <c r="M47" i="3" s="1"/>
  <c r="F46" i="3"/>
  <c r="H46" i="3" s="1"/>
  <c r="M46" i="3" s="1"/>
  <c r="F45" i="3"/>
  <c r="H45" i="3" s="1"/>
  <c r="M45" i="3" s="1"/>
  <c r="F44" i="3"/>
  <c r="H44" i="3" s="1"/>
  <c r="M44" i="3" s="1"/>
  <c r="H43" i="3"/>
  <c r="M43" i="3" s="1"/>
  <c r="F43" i="3"/>
  <c r="F42" i="3"/>
  <c r="H42" i="3" s="1"/>
  <c r="M42" i="3" s="1"/>
  <c r="F41" i="3"/>
  <c r="H41" i="3" s="1"/>
  <c r="M41" i="3" s="1"/>
  <c r="F40" i="3"/>
  <c r="H40" i="3" s="1"/>
  <c r="M40" i="3" s="1"/>
  <c r="F39" i="3"/>
  <c r="H39" i="3" s="1"/>
  <c r="M39" i="3" s="1"/>
  <c r="F38" i="3"/>
  <c r="F33" i="3"/>
  <c r="H33" i="3" s="1"/>
  <c r="M33" i="3" s="1"/>
  <c r="F31" i="3"/>
  <c r="J31" i="3" s="1"/>
  <c r="M31" i="3" s="1"/>
  <c r="F30" i="3"/>
  <c r="F34" i="3" s="1"/>
  <c r="H34" i="3" s="1"/>
  <c r="M34" i="3" s="1"/>
  <c r="F29" i="3"/>
  <c r="H29" i="3" s="1"/>
  <c r="M29" i="3" s="1"/>
  <c r="F28" i="3"/>
  <c r="H28" i="3" s="1"/>
  <c r="M28" i="3" s="1"/>
  <c r="F27" i="3"/>
  <c r="L27" i="3" s="1"/>
  <c r="M27" i="3" s="1"/>
  <c r="F26" i="3"/>
  <c r="J26" i="3" s="1"/>
  <c r="M26" i="3" s="1"/>
  <c r="H23" i="3"/>
  <c r="M23" i="3" s="1"/>
  <c r="F19" i="3"/>
  <c r="F22" i="3" s="1"/>
  <c r="F14" i="3"/>
  <c r="F16" i="3" s="1"/>
  <c r="L16" i="3" s="1"/>
  <c r="M16" i="3" s="1"/>
  <c r="F12" i="3"/>
  <c r="H12" i="3" s="1"/>
  <c r="M12" i="3" s="1"/>
  <c r="F8" i="3"/>
  <c r="F10" i="3" s="1"/>
  <c r="L10" i="3" s="1"/>
  <c r="F35" i="3" l="1"/>
  <c r="F65" i="3"/>
  <c r="F69" i="3" s="1"/>
  <c r="H69" i="3" s="1"/>
  <c r="M69" i="3" s="1"/>
  <c r="F81" i="3"/>
  <c r="J81" i="3" s="1"/>
  <c r="M81" i="3" s="1"/>
  <c r="F82" i="3"/>
  <c r="L82" i="3" s="1"/>
  <c r="M82" i="3" s="1"/>
  <c r="F84" i="3"/>
  <c r="H84" i="3" s="1"/>
  <c r="M84" i="3" s="1"/>
  <c r="F11" i="3"/>
  <c r="H11" i="3" s="1"/>
  <c r="M11" i="3" s="1"/>
  <c r="F13" i="3"/>
  <c r="H13" i="3" s="1"/>
  <c r="M13" i="3" s="1"/>
  <c r="F17" i="3"/>
  <c r="H17" i="3" s="1"/>
  <c r="M17" i="3" s="1"/>
  <c r="F32" i="3"/>
  <c r="L32" i="3" s="1"/>
  <c r="M32" i="3" s="1"/>
  <c r="K17" i="5"/>
  <c r="K26" i="5"/>
  <c r="K34" i="5"/>
  <c r="K43" i="5"/>
  <c r="K52" i="5"/>
  <c r="K61" i="5"/>
  <c r="J69" i="5"/>
  <c r="K13" i="5"/>
  <c r="K21" i="5"/>
  <c r="K30" i="5"/>
  <c r="K39" i="5"/>
  <c r="K48" i="5"/>
  <c r="K56" i="5"/>
  <c r="K65" i="5"/>
  <c r="H69" i="5"/>
  <c r="K12" i="5"/>
  <c r="K20" i="5"/>
  <c r="K29" i="5"/>
  <c r="K38" i="5"/>
  <c r="K47" i="5"/>
  <c r="K55" i="5"/>
  <c r="K35" i="5"/>
  <c r="K53" i="5"/>
  <c r="K60" i="5"/>
  <c r="K10" i="5"/>
  <c r="K18" i="5"/>
  <c r="K27" i="5"/>
  <c r="K44" i="5"/>
  <c r="K62" i="5"/>
  <c r="K16" i="5"/>
  <c r="K25" i="5"/>
  <c r="K33" i="5"/>
  <c r="K42" i="5"/>
  <c r="F69" i="5"/>
  <c r="K11" i="5"/>
  <c r="K19" i="5"/>
  <c r="K28" i="5"/>
  <c r="K37" i="5"/>
  <c r="K46" i="5"/>
  <c r="K54" i="5"/>
  <c r="K63" i="5"/>
  <c r="K51" i="5"/>
  <c r="K14" i="5"/>
  <c r="K22" i="5"/>
  <c r="K31" i="5"/>
  <c r="K40" i="5"/>
  <c r="K49" i="5"/>
  <c r="K58" i="5"/>
  <c r="K66" i="5"/>
  <c r="K64" i="5"/>
  <c r="K15" i="5"/>
  <c r="K23" i="5"/>
  <c r="K32" i="5"/>
  <c r="K41" i="5"/>
  <c r="K50" i="5"/>
  <c r="K59" i="5"/>
  <c r="K67" i="5"/>
  <c r="H22" i="3"/>
  <c r="M22" i="3" s="1"/>
  <c r="K9" i="5"/>
  <c r="J21" i="4"/>
  <c r="M21" i="4" s="1"/>
  <c r="F102" i="4"/>
  <c r="J102" i="4" s="1"/>
  <c r="M102" i="4" s="1"/>
  <c r="F123" i="4"/>
  <c r="H123" i="4" s="1"/>
  <c r="M123" i="4" s="1"/>
  <c r="F103" i="4"/>
  <c r="L103" i="4" s="1"/>
  <c r="M103" i="4" s="1"/>
  <c r="M11" i="4"/>
  <c r="M9" i="4"/>
  <c r="M10" i="4"/>
  <c r="F51" i="4"/>
  <c r="F56" i="4"/>
  <c r="H105" i="4"/>
  <c r="M105" i="4" s="1"/>
  <c r="F17" i="4"/>
  <c r="H17" i="4" s="1"/>
  <c r="M17" i="4" s="1"/>
  <c r="F15" i="4"/>
  <c r="J15" i="4" s="1"/>
  <c r="M15" i="4" s="1"/>
  <c r="F23" i="4"/>
  <c r="H23" i="4" s="1"/>
  <c r="M23" i="4" s="1"/>
  <c r="F37" i="4"/>
  <c r="H37" i="4" s="1"/>
  <c r="M37" i="4" s="1"/>
  <c r="F40" i="4"/>
  <c r="L40" i="4" s="1"/>
  <c r="M40" i="4" s="1"/>
  <c r="F145" i="4"/>
  <c r="H145" i="4" s="1"/>
  <c r="M145" i="4" s="1"/>
  <c r="F29" i="4"/>
  <c r="H29" i="4" s="1"/>
  <c r="M29" i="4" s="1"/>
  <c r="F43" i="4"/>
  <c r="H43" i="4" s="1"/>
  <c r="M43" i="4" s="1"/>
  <c r="F46" i="4"/>
  <c r="L46" i="4" s="1"/>
  <c r="M46" i="4" s="1"/>
  <c r="F49" i="4"/>
  <c r="H49" i="4" s="1"/>
  <c r="M49" i="4" s="1"/>
  <c r="F52" i="4"/>
  <c r="L52" i="4" s="1"/>
  <c r="M52" i="4" s="1"/>
  <c r="F41" i="4"/>
  <c r="H41" i="4" s="1"/>
  <c r="M41" i="4" s="1"/>
  <c r="F55" i="4"/>
  <c r="H55" i="4" s="1"/>
  <c r="M55" i="4" s="1"/>
  <c r="M10" i="3"/>
  <c r="F36" i="3"/>
  <c r="J36" i="3" s="1"/>
  <c r="M36" i="3" s="1"/>
  <c r="F64" i="3"/>
  <c r="H64" i="3" s="1"/>
  <c r="M64" i="3" s="1"/>
  <c r="F37" i="3"/>
  <c r="L37" i="3" s="1"/>
  <c r="M37" i="3" s="1"/>
  <c r="F20" i="3"/>
  <c r="J20" i="3" s="1"/>
  <c r="M20" i="3" s="1"/>
  <c r="H38" i="3"/>
  <c r="M38" i="3" s="1"/>
  <c r="F9" i="3"/>
  <c r="J9" i="3" s="1"/>
  <c r="F15" i="3"/>
  <c r="J15" i="3" s="1"/>
  <c r="M15" i="3" s="1"/>
  <c r="F21" i="3"/>
  <c r="L21" i="3" s="1"/>
  <c r="M21" i="3" s="1"/>
  <c r="F67" i="3"/>
  <c r="L67" i="3" s="1"/>
  <c r="M67" i="3" s="1"/>
  <c r="F73" i="3"/>
  <c r="H73" i="3" s="1"/>
  <c r="M73" i="3" s="1"/>
  <c r="F79" i="3"/>
  <c r="H79" i="3" s="1"/>
  <c r="M79" i="3" s="1"/>
  <c r="F109" i="3"/>
  <c r="H109" i="3" s="1"/>
  <c r="M109" i="3" s="1"/>
  <c r="F76" i="3"/>
  <c r="J76" i="3" s="1"/>
  <c r="M76" i="3" s="1"/>
  <c r="F18" i="3"/>
  <c r="H18" i="3" s="1"/>
  <c r="M18" i="3" s="1"/>
  <c r="F24" i="3"/>
  <c r="H24" i="3" s="1"/>
  <c r="M24" i="3" s="1"/>
  <c r="F86" i="3"/>
  <c r="J86" i="3" s="1"/>
  <c r="M86" i="3" s="1"/>
  <c r="F66" i="3"/>
  <c r="J66" i="3" s="1"/>
  <c r="M66" i="3" s="1"/>
  <c r="F71" i="3"/>
  <c r="J71" i="3" s="1"/>
  <c r="M71" i="3" s="1"/>
  <c r="F107" i="3"/>
  <c r="J107" i="3" s="1"/>
  <c r="M107" i="3" s="1"/>
  <c r="K69" i="5" l="1"/>
  <c r="K70" i="5" s="1"/>
  <c r="K71" i="5" s="1"/>
  <c r="K72" i="5" s="1"/>
  <c r="K73" i="5" s="1"/>
  <c r="K74" i="5" s="1"/>
  <c r="K75" i="5" s="1"/>
  <c r="K76" i="5" s="1"/>
  <c r="K77" i="5" s="1"/>
  <c r="F57" i="4"/>
  <c r="J57" i="4" s="1"/>
  <c r="M57" i="4" s="1"/>
  <c r="F58" i="4"/>
  <c r="L58" i="4" s="1"/>
  <c r="M58" i="4" s="1"/>
  <c r="F100" i="4"/>
  <c r="H100" i="4" s="1"/>
  <c r="M100" i="4" s="1"/>
  <c r="H157" i="4"/>
  <c r="M157" i="4" s="1"/>
  <c r="L159" i="4"/>
  <c r="J27" i="4"/>
  <c r="L160" i="3"/>
  <c r="M9" i="3"/>
  <c r="J160" i="3"/>
  <c r="H158" i="3"/>
  <c r="J33" i="4" l="1"/>
  <c r="M33" i="4" s="1"/>
  <c r="H159" i="4"/>
  <c r="H160" i="4" s="1"/>
  <c r="M160" i="4" s="1"/>
  <c r="M27" i="4"/>
  <c r="M158" i="3"/>
  <c r="H160" i="3"/>
  <c r="H161" i="3" s="1"/>
  <c r="M161" i="3" s="1"/>
  <c r="M160" i="3"/>
  <c r="M162" i="3" l="1"/>
  <c r="M163" i="3" s="1"/>
  <c r="M164" i="3" s="1"/>
  <c r="M165" i="3" s="1"/>
  <c r="M166" i="3" s="1"/>
  <c r="M167" i="3" s="1"/>
  <c r="M168" i="3" s="1"/>
  <c r="M169" i="3" s="1"/>
  <c r="M170" i="3" s="1"/>
  <c r="J39" i="4"/>
  <c r="M39" i="4" l="1"/>
  <c r="J45" i="4"/>
  <c r="M45" i="4" s="1"/>
  <c r="J51" i="4"/>
  <c r="M51" i="4" s="1"/>
  <c r="J159" i="4" l="1"/>
  <c r="M159" i="4"/>
  <c r="M161" i="4" s="1"/>
  <c r="M162" i="4" s="1"/>
  <c r="M163" i="4" s="1"/>
  <c r="M164" i="4" s="1"/>
  <c r="M165" i="4" s="1"/>
  <c r="M166" i="4" s="1"/>
  <c r="M167" i="4" s="1"/>
  <c r="M168" i="4" s="1"/>
  <c r="M169" i="4" s="1"/>
  <c r="F254" i="2" l="1"/>
  <c r="H254" i="2" s="1"/>
  <c r="M254" i="2" s="1"/>
  <c r="E253" i="2"/>
  <c r="F253" i="2" s="1"/>
  <c r="H253" i="2" s="1"/>
  <c r="M253" i="2" s="1"/>
  <c r="E252" i="2"/>
  <c r="F252" i="2" s="1"/>
  <c r="H252" i="2" s="1"/>
  <c r="M252" i="2" s="1"/>
  <c r="F251" i="2"/>
  <c r="L251" i="2" s="1"/>
  <c r="M251" i="2" s="1"/>
  <c r="F250" i="2"/>
  <c r="J250" i="2" s="1"/>
  <c r="M250" i="2" s="1"/>
  <c r="F248" i="2"/>
  <c r="H248" i="2" s="1"/>
  <c r="M248" i="2" s="1"/>
  <c r="F247" i="2"/>
  <c r="J247" i="2" s="1"/>
  <c r="M247" i="2" s="1"/>
  <c r="F245" i="2"/>
  <c r="H245" i="2" s="1"/>
  <c r="M245" i="2" s="1"/>
  <c r="F244" i="2"/>
  <c r="L244" i="2" s="1"/>
  <c r="M244" i="2" s="1"/>
  <c r="F243" i="2"/>
  <c r="H243" i="2" s="1"/>
  <c r="M243" i="2" s="1"/>
  <c r="F242" i="2"/>
  <c r="J242" i="2" s="1"/>
  <c r="M242" i="2" s="1"/>
  <c r="F240" i="2"/>
  <c r="H240" i="2" s="1"/>
  <c r="M240" i="2" s="1"/>
  <c r="F239" i="2"/>
  <c r="H239" i="2" s="1"/>
  <c r="M239" i="2" s="1"/>
  <c r="F238" i="2"/>
  <c r="L238" i="2" s="1"/>
  <c r="M238" i="2" s="1"/>
  <c r="F237" i="2"/>
  <c r="J237" i="2" s="1"/>
  <c r="M237" i="2" s="1"/>
  <c r="F235" i="2"/>
  <c r="H235" i="2" s="1"/>
  <c r="M235" i="2" s="1"/>
  <c r="F234" i="2"/>
  <c r="H234" i="2" s="1"/>
  <c r="M234" i="2" s="1"/>
  <c r="E233" i="2"/>
  <c r="F233" i="2" s="1"/>
  <c r="L233" i="2" s="1"/>
  <c r="M233" i="2" s="1"/>
  <c r="F232" i="2"/>
  <c r="H232" i="2" s="1"/>
  <c r="M232" i="2" s="1"/>
  <c r="F231" i="2"/>
  <c r="J231" i="2" s="1"/>
  <c r="M231" i="2" s="1"/>
  <c r="F224" i="2"/>
  <c r="F227" i="2" s="1"/>
  <c r="L227" i="2" s="1"/>
  <c r="M227" i="2" s="1"/>
  <c r="F218" i="2"/>
  <c r="F221" i="2" s="1"/>
  <c r="L221" i="2" s="1"/>
  <c r="M221" i="2" s="1"/>
  <c r="F211" i="2"/>
  <c r="E209" i="2"/>
  <c r="F182" i="2"/>
  <c r="F171" i="2"/>
  <c r="F201" i="2" s="1"/>
  <c r="F207" i="2" s="1"/>
  <c r="F163" i="2"/>
  <c r="F162" i="2"/>
  <c r="F157" i="2"/>
  <c r="F158" i="2" s="1"/>
  <c r="J158" i="2" s="1"/>
  <c r="M158" i="2" s="1"/>
  <c r="F155" i="2"/>
  <c r="E153" i="2"/>
  <c r="F152" i="2"/>
  <c r="J152" i="2" s="1"/>
  <c r="M152" i="2" s="1"/>
  <c r="E137" i="2"/>
  <c r="F127" i="2"/>
  <c r="F138" i="2" s="1"/>
  <c r="H138" i="2" s="1"/>
  <c r="M138" i="2" s="1"/>
  <c r="E125" i="2"/>
  <c r="F114" i="2"/>
  <c r="F119" i="2" s="1"/>
  <c r="H119" i="2" s="1"/>
  <c r="M119" i="2" s="1"/>
  <c r="F113" i="2"/>
  <c r="H113" i="2" s="1"/>
  <c r="M113" i="2" s="1"/>
  <c r="F112" i="2"/>
  <c r="H112" i="2" s="1"/>
  <c r="M112" i="2" s="1"/>
  <c r="F111" i="2"/>
  <c r="F110" i="2"/>
  <c r="F109" i="2"/>
  <c r="F108" i="2"/>
  <c r="F107" i="2"/>
  <c r="F106" i="2"/>
  <c r="H106" i="2" s="1"/>
  <c r="M106" i="2" s="1"/>
  <c r="F105" i="2"/>
  <c r="F104" i="2"/>
  <c r="F103" i="2"/>
  <c r="F102" i="2"/>
  <c r="J102" i="2" s="1"/>
  <c r="F92" i="2"/>
  <c r="H92" i="2" s="1"/>
  <c r="M92" i="2" s="1"/>
  <c r="F82" i="2"/>
  <c r="F72" i="2"/>
  <c r="H72" i="2" s="1"/>
  <c r="M72" i="2" s="1"/>
  <c r="L71" i="2"/>
  <c r="J71" i="2"/>
  <c r="H71" i="2"/>
  <c r="F70" i="2"/>
  <c r="L70" i="2" s="1"/>
  <c r="M70" i="2" s="1"/>
  <c r="F66" i="2"/>
  <c r="H66" i="2" s="1"/>
  <c r="M66" i="2" s="1"/>
  <c r="E65" i="2"/>
  <c r="F65" i="2" s="1"/>
  <c r="H65" i="2" s="1"/>
  <c r="M65" i="2" s="1"/>
  <c r="F64" i="2"/>
  <c r="H64" i="2" s="1"/>
  <c r="M64" i="2" s="1"/>
  <c r="F62" i="2"/>
  <c r="F63" i="2" s="1"/>
  <c r="L63" i="2" s="1"/>
  <c r="M63" i="2" s="1"/>
  <c r="E54" i="2"/>
  <c r="F50" i="2"/>
  <c r="E48" i="2"/>
  <c r="F48" i="2" s="1"/>
  <c r="H48" i="2" s="1"/>
  <c r="M48" i="2" s="1"/>
  <c r="E47" i="2"/>
  <c r="F47" i="2" s="1"/>
  <c r="H47" i="2" s="1"/>
  <c r="M47" i="2" s="1"/>
  <c r="F46" i="2"/>
  <c r="L46" i="2" s="1"/>
  <c r="M46" i="2" s="1"/>
  <c r="F45" i="2"/>
  <c r="J45" i="2" s="1"/>
  <c r="M45" i="2" s="1"/>
  <c r="F43" i="2"/>
  <c r="H43" i="2" s="1"/>
  <c r="M43" i="2" s="1"/>
  <c r="F42" i="2"/>
  <c r="H42" i="2" s="1"/>
  <c r="M42" i="2" s="1"/>
  <c r="F41" i="2"/>
  <c r="H41" i="2" s="1"/>
  <c r="M41" i="2" s="1"/>
  <c r="F40" i="2"/>
  <c r="L40" i="2" s="1"/>
  <c r="M40" i="2" s="1"/>
  <c r="F39" i="2"/>
  <c r="J39" i="2" s="1"/>
  <c r="M39" i="2" s="1"/>
  <c r="F30" i="2"/>
  <c r="F32" i="2" s="1"/>
  <c r="L32" i="2" s="1"/>
  <c r="M32" i="2" s="1"/>
  <c r="E29" i="2"/>
  <c r="F28" i="2"/>
  <c r="H28" i="2" s="1"/>
  <c r="M28" i="2" s="1"/>
  <c r="H27" i="2"/>
  <c r="M27" i="2" s="1"/>
  <c r="E26" i="2"/>
  <c r="F25" i="2"/>
  <c r="H25" i="2" s="1"/>
  <c r="M25" i="2" s="1"/>
  <c r="F24" i="2"/>
  <c r="H24" i="2" s="1"/>
  <c r="M24" i="2" s="1"/>
  <c r="E20" i="2"/>
  <c r="F18" i="2"/>
  <c r="F23" i="2" s="1"/>
  <c r="H23" i="2" s="1"/>
  <c r="M23" i="2" s="1"/>
  <c r="F14" i="2"/>
  <c r="F15" i="2" s="1"/>
  <c r="J15" i="2" s="1"/>
  <c r="M15" i="2" s="1"/>
  <c r="F13" i="2"/>
  <c r="L13" i="2" s="1"/>
  <c r="M13" i="2" s="1"/>
  <c r="F12" i="2"/>
  <c r="J12" i="2" s="1"/>
  <c r="M12" i="2" s="1"/>
  <c r="F10" i="2"/>
  <c r="L10" i="2" s="1"/>
  <c r="M10" i="2" s="1"/>
  <c r="F9" i="2"/>
  <c r="J9" i="2" s="1"/>
  <c r="M9" i="2" s="1"/>
  <c r="J50" i="2" l="1"/>
  <c r="M50" i="2" s="1"/>
  <c r="H53" i="2"/>
  <c r="M53" i="2" s="1"/>
  <c r="F203" i="2"/>
  <c r="L203" i="2" s="1"/>
  <c r="M203" i="2" s="1"/>
  <c r="F174" i="2"/>
  <c r="H174" i="2" s="1"/>
  <c r="M174" i="2" s="1"/>
  <c r="F176" i="2"/>
  <c r="H176" i="2" s="1"/>
  <c r="M176" i="2" s="1"/>
  <c r="H82" i="2"/>
  <c r="M82" i="2" s="1"/>
  <c r="F257" i="2"/>
  <c r="F89" i="2"/>
  <c r="H89" i="2" s="1"/>
  <c r="F132" i="2"/>
  <c r="H132" i="2" s="1"/>
  <c r="M132" i="2" s="1"/>
  <c r="F214" i="2"/>
  <c r="J214" i="2" s="1"/>
  <c r="M214" i="2" s="1"/>
  <c r="H163" i="2"/>
  <c r="M163" i="2" s="1"/>
  <c r="F154" i="2"/>
  <c r="L154" i="2" s="1"/>
  <c r="F26" i="2"/>
  <c r="L26" i="2" s="1"/>
  <c r="F19" i="2"/>
  <c r="F22" i="2" s="1"/>
  <c r="H22" i="2" s="1"/>
  <c r="M22" i="2" s="1"/>
  <c r="F116" i="2"/>
  <c r="L116" i="2" s="1"/>
  <c r="F206" i="2"/>
  <c r="H206" i="2" s="1"/>
  <c r="M206" i="2" s="1"/>
  <c r="F225" i="2"/>
  <c r="J225" i="2" s="1"/>
  <c r="M225" i="2" s="1"/>
  <c r="F20" i="2"/>
  <c r="L20" i="2" s="1"/>
  <c r="M20" i="2" s="1"/>
  <c r="F54" i="2"/>
  <c r="H54" i="2" s="1"/>
  <c r="F156" i="2"/>
  <c r="H156" i="2" s="1"/>
  <c r="M156" i="2" s="1"/>
  <c r="F153" i="2"/>
  <c r="L153" i="2" s="1"/>
  <c r="M153" i="2" s="1"/>
  <c r="H110" i="2"/>
  <c r="M110" i="2" s="1"/>
  <c r="F126" i="2"/>
  <c r="H126" i="2" s="1"/>
  <c r="M126" i="2" s="1"/>
  <c r="H182" i="2"/>
  <c r="M182" i="2" s="1"/>
  <c r="F29" i="2"/>
  <c r="H29" i="2" s="1"/>
  <c r="M29" i="2" s="1"/>
  <c r="F128" i="2"/>
  <c r="H128" i="2" s="1"/>
  <c r="F135" i="2"/>
  <c r="H135" i="2" s="1"/>
  <c r="M135" i="2" s="1"/>
  <c r="F215" i="2"/>
  <c r="H62" i="2"/>
  <c r="M62" i="2" s="1"/>
  <c r="H107" i="2"/>
  <c r="M107" i="2" s="1"/>
  <c r="F129" i="2"/>
  <c r="L129" i="2" s="1"/>
  <c r="H162" i="2"/>
  <c r="M162" i="2" s="1"/>
  <c r="F204" i="2"/>
  <c r="H204" i="2" s="1"/>
  <c r="H104" i="2"/>
  <c r="M104" i="2" s="1"/>
  <c r="F130" i="2"/>
  <c r="H130" i="2" s="1"/>
  <c r="M130" i="2" s="1"/>
  <c r="H108" i="2"/>
  <c r="M108" i="2" s="1"/>
  <c r="F61" i="2"/>
  <c r="J61" i="2" s="1"/>
  <c r="M61" i="2" s="1"/>
  <c r="F97" i="2"/>
  <c r="H97" i="2" s="1"/>
  <c r="M97" i="2" s="1"/>
  <c r="H211" i="2"/>
  <c r="M211" i="2" s="1"/>
  <c r="M71" i="2"/>
  <c r="F80" i="2"/>
  <c r="H80" i="2" s="1"/>
  <c r="M80" i="2" s="1"/>
  <c r="F84" i="2"/>
  <c r="H84" i="2" s="1"/>
  <c r="M84" i="2" s="1"/>
  <c r="F93" i="2"/>
  <c r="H93" i="2" s="1"/>
  <c r="M93" i="2" s="1"/>
  <c r="H111" i="2"/>
  <c r="M111" i="2" s="1"/>
  <c r="F120" i="2"/>
  <c r="H120" i="2" s="1"/>
  <c r="M120" i="2" s="1"/>
  <c r="F125" i="2"/>
  <c r="H125" i="2" s="1"/>
  <c r="M125" i="2" s="1"/>
  <c r="F183" i="2"/>
  <c r="H183" i="2" s="1"/>
  <c r="M183" i="2" s="1"/>
  <c r="F177" i="2"/>
  <c r="H177" i="2" s="1"/>
  <c r="M177" i="2" s="1"/>
  <c r="F16" i="2"/>
  <c r="L16" i="2" s="1"/>
  <c r="M16" i="2" s="1"/>
  <c r="F31" i="2"/>
  <c r="J31" i="2" s="1"/>
  <c r="M31" i="2" s="1"/>
  <c r="H105" i="2"/>
  <c r="M105" i="2" s="1"/>
  <c r="F159" i="2"/>
  <c r="L159" i="2" s="1"/>
  <c r="M159" i="2" s="1"/>
  <c r="F172" i="2"/>
  <c r="J172" i="2" s="1"/>
  <c r="M172" i="2" s="1"/>
  <c r="F185" i="2"/>
  <c r="H185" i="2" s="1"/>
  <c r="M185" i="2" s="1"/>
  <c r="F226" i="2"/>
  <c r="L226" i="2" s="1"/>
  <c r="M226" i="2" s="1"/>
  <c r="F99" i="2"/>
  <c r="H99" i="2" s="1"/>
  <c r="M99" i="2" s="1"/>
  <c r="H109" i="2"/>
  <c r="M109" i="2" s="1"/>
  <c r="F122" i="2"/>
  <c r="H122" i="2" s="1"/>
  <c r="M122" i="2" s="1"/>
  <c r="F131" i="2"/>
  <c r="H131" i="2" s="1"/>
  <c r="M131" i="2" s="1"/>
  <c r="F219" i="2"/>
  <c r="J219" i="2" s="1"/>
  <c r="M219" i="2" s="1"/>
  <c r="F95" i="2"/>
  <c r="H95" i="2" s="1"/>
  <c r="M95" i="2" s="1"/>
  <c r="F161" i="2"/>
  <c r="H161" i="2" s="1"/>
  <c r="M161" i="2" s="1"/>
  <c r="F179" i="2"/>
  <c r="F220" i="2"/>
  <c r="L220" i="2" s="1"/>
  <c r="M220" i="2" s="1"/>
  <c r="F228" i="2"/>
  <c r="H228" i="2" s="1"/>
  <c r="M228" i="2" s="1"/>
  <c r="F35" i="2"/>
  <c r="H35" i="2" s="1"/>
  <c r="M35" i="2" s="1"/>
  <c r="F68" i="2"/>
  <c r="J68" i="2" s="1"/>
  <c r="M68" i="2" s="1"/>
  <c r="F137" i="2"/>
  <c r="H137" i="2" s="1"/>
  <c r="M137" i="2" s="1"/>
  <c r="F173" i="2"/>
  <c r="L173" i="2" s="1"/>
  <c r="M173" i="2" s="1"/>
  <c r="F181" i="2"/>
  <c r="F91" i="2"/>
  <c r="H91" i="2" s="1"/>
  <c r="M91" i="2" s="1"/>
  <c r="F118" i="2"/>
  <c r="H118" i="2" s="1"/>
  <c r="M118" i="2" s="1"/>
  <c r="F124" i="2"/>
  <c r="H124" i="2" s="1"/>
  <c r="M124" i="2" s="1"/>
  <c r="F133" i="2"/>
  <c r="H133" i="2" s="1"/>
  <c r="M133" i="2" s="1"/>
  <c r="F175" i="2"/>
  <c r="H175" i="2" s="1"/>
  <c r="M175" i="2" s="1"/>
  <c r="F222" i="2"/>
  <c r="H222" i="2" s="1"/>
  <c r="M222" i="2" s="1"/>
  <c r="F85" i="2"/>
  <c r="H85" i="2" s="1"/>
  <c r="M85" i="2" s="1"/>
  <c r="F83" i="2"/>
  <c r="H83" i="2" s="1"/>
  <c r="M83" i="2" s="1"/>
  <c r="F86" i="2"/>
  <c r="H86" i="2" s="1"/>
  <c r="M86" i="2" s="1"/>
  <c r="F77" i="2"/>
  <c r="H77" i="2" s="1"/>
  <c r="M77" i="2" s="1"/>
  <c r="F75" i="2"/>
  <c r="F81" i="2"/>
  <c r="H81" i="2" s="1"/>
  <c r="M81" i="2" s="1"/>
  <c r="F79" i="2"/>
  <c r="H79" i="2" s="1"/>
  <c r="M79" i="2" s="1"/>
  <c r="F78" i="2"/>
  <c r="H78" i="2" s="1"/>
  <c r="M78" i="2" s="1"/>
  <c r="F76" i="2"/>
  <c r="H76" i="2" s="1"/>
  <c r="M76" i="2" s="1"/>
  <c r="F74" i="2"/>
  <c r="F33" i="2"/>
  <c r="H33" i="2" s="1"/>
  <c r="M33" i="2" s="1"/>
  <c r="F51" i="2"/>
  <c r="L51" i="2" s="1"/>
  <c r="M51" i="2" s="1"/>
  <c r="F21" i="2"/>
  <c r="H21" i="2" s="1"/>
  <c r="M21" i="2" s="1"/>
  <c r="F36" i="2"/>
  <c r="H36" i="2" s="1"/>
  <c r="M36" i="2" s="1"/>
  <c r="F69" i="2"/>
  <c r="H69" i="2" s="1"/>
  <c r="M69" i="2" s="1"/>
  <c r="F34" i="2"/>
  <c r="H34" i="2" s="1"/>
  <c r="M34" i="2" s="1"/>
  <c r="F52" i="2"/>
  <c r="H52" i="2" s="1"/>
  <c r="M52" i="2" s="1"/>
  <c r="H102" i="2"/>
  <c r="M102" i="2" s="1"/>
  <c r="F37" i="2"/>
  <c r="H37" i="2" s="1"/>
  <c r="M37" i="2" s="1"/>
  <c r="F55" i="2"/>
  <c r="H55" i="2" s="1"/>
  <c r="M55" i="2" s="1"/>
  <c r="L103" i="2"/>
  <c r="H103" i="2"/>
  <c r="H155" i="2"/>
  <c r="M155" i="2" s="1"/>
  <c r="F178" i="2"/>
  <c r="H178" i="2" s="1"/>
  <c r="M178" i="2" s="1"/>
  <c r="F180" i="2"/>
  <c r="H180" i="2" s="1"/>
  <c r="M180" i="2" s="1"/>
  <c r="F184" i="2"/>
  <c r="H184" i="2" s="1"/>
  <c r="M184" i="2" s="1"/>
  <c r="F202" i="2"/>
  <c r="J202" i="2" s="1"/>
  <c r="M202" i="2" s="1"/>
  <c r="F209" i="2"/>
  <c r="L209" i="2" s="1"/>
  <c r="M209" i="2" s="1"/>
  <c r="F216" i="2"/>
  <c r="H216" i="2" s="1"/>
  <c r="M216" i="2" s="1"/>
  <c r="F223" i="2"/>
  <c r="H223" i="2" s="1"/>
  <c r="M223" i="2" s="1"/>
  <c r="F229" i="2"/>
  <c r="H229" i="2" s="1"/>
  <c r="M229" i="2" s="1"/>
  <c r="F134" i="2"/>
  <c r="H134" i="2" s="1"/>
  <c r="M134" i="2" s="1"/>
  <c r="F136" i="2"/>
  <c r="H136" i="2" s="1"/>
  <c r="M136" i="2" s="1"/>
  <c r="F160" i="2"/>
  <c r="H160" i="2" s="1"/>
  <c r="M160" i="2" s="1"/>
  <c r="F94" i="2"/>
  <c r="H94" i="2" s="1"/>
  <c r="M94" i="2" s="1"/>
  <c r="F96" i="2"/>
  <c r="H96" i="2" s="1"/>
  <c r="M96" i="2" s="1"/>
  <c r="F98" i="2"/>
  <c r="H98" i="2" s="1"/>
  <c r="M98" i="2" s="1"/>
  <c r="F100" i="2"/>
  <c r="H100" i="2" s="1"/>
  <c r="M100" i="2" s="1"/>
  <c r="F121" i="2"/>
  <c r="H121" i="2" s="1"/>
  <c r="M121" i="2" s="1"/>
  <c r="F123" i="2"/>
  <c r="H123" i="2" s="1"/>
  <c r="M123" i="2" s="1"/>
  <c r="F205" i="2"/>
  <c r="H205" i="2" s="1"/>
  <c r="M205" i="2" s="1"/>
  <c r="F88" i="2"/>
  <c r="F90" i="2"/>
  <c r="H90" i="2" s="1"/>
  <c r="M90" i="2" s="1"/>
  <c r="F115" i="2"/>
  <c r="F117" i="2"/>
  <c r="H117" i="2" s="1"/>
  <c r="M117" i="2" s="1"/>
  <c r="J215" i="2" l="1"/>
  <c r="M215" i="2" s="1"/>
  <c r="J128" i="2"/>
  <c r="M128" i="2" s="1"/>
  <c r="F256" i="2"/>
  <c r="J256" i="2" s="1"/>
  <c r="M256" i="2" s="1"/>
  <c r="F258" i="2"/>
  <c r="L259" i="2"/>
  <c r="M259" i="2" s="1"/>
  <c r="H154" i="2"/>
  <c r="M154" i="2" s="1"/>
  <c r="L204" i="2"/>
  <c r="M204" i="2" s="1"/>
  <c r="F140" i="2"/>
  <c r="J140" i="2" s="1"/>
  <c r="M140" i="2" s="1"/>
  <c r="H116" i="2"/>
  <c r="M116" i="2" s="1"/>
  <c r="J19" i="2"/>
  <c r="M19" i="2" s="1"/>
  <c r="L89" i="2"/>
  <c r="M89" i="2" s="1"/>
  <c r="H26" i="2"/>
  <c r="M26" i="2" s="1"/>
  <c r="H129" i="2"/>
  <c r="M129" i="2" s="1"/>
  <c r="L54" i="2"/>
  <c r="M54" i="2" s="1"/>
  <c r="H181" i="2"/>
  <c r="M181" i="2" s="1"/>
  <c r="F143" i="2"/>
  <c r="L143" i="2" s="1"/>
  <c r="H179" i="2"/>
  <c r="M179" i="2" s="1"/>
  <c r="M103" i="2"/>
  <c r="F144" i="2"/>
  <c r="H144" i="2" s="1"/>
  <c r="M144" i="2" s="1"/>
  <c r="F142" i="2"/>
  <c r="L142" i="2" s="1"/>
  <c r="M142" i="2" s="1"/>
  <c r="F208" i="2"/>
  <c r="J208" i="2" s="1"/>
  <c r="M208" i="2" s="1"/>
  <c r="F212" i="2"/>
  <c r="H212" i="2" s="1"/>
  <c r="M212" i="2" s="1"/>
  <c r="F210" i="2"/>
  <c r="H74" i="2"/>
  <c r="J74" i="2"/>
  <c r="J88" i="2"/>
  <c r="H88" i="2"/>
  <c r="H75" i="2"/>
  <c r="L75" i="2"/>
  <c r="J115" i="2"/>
  <c r="H115" i="2"/>
  <c r="L258" i="2" l="1"/>
  <c r="M258" i="2" s="1"/>
  <c r="J261" i="2"/>
  <c r="M115" i="2"/>
  <c r="H143" i="2"/>
  <c r="M143" i="2" s="1"/>
  <c r="M88" i="2"/>
  <c r="M74" i="2"/>
  <c r="M75" i="2"/>
  <c r="L210" i="2"/>
  <c r="L261" i="2" s="1"/>
  <c r="H210" i="2"/>
  <c r="M210" i="2" l="1"/>
  <c r="M261" i="2" s="1"/>
  <c r="H261" i="2" l="1"/>
  <c r="M262" i="2" s="1"/>
  <c r="M263" i="2" l="1"/>
  <c r="M264" i="2" l="1"/>
  <c r="M265" i="2" s="1"/>
  <c r="M266" i="2" l="1"/>
  <c r="M267" i="2" s="1"/>
  <c r="M270" i="2" l="1"/>
  <c r="M268" i="2"/>
  <c r="M269" i="2" s="1"/>
  <c r="F58" i="10" l="1"/>
  <c r="L58" i="10" s="1"/>
  <c r="F64" i="10"/>
  <c r="H64" i="10" s="1"/>
  <c r="M64" i="10" s="1"/>
  <c r="F59" i="10"/>
  <c r="H59" i="10" s="1"/>
  <c r="F57" i="10"/>
  <c r="J57" i="10" s="1"/>
  <c r="M59" i="10" l="1"/>
  <c r="H176" i="10"/>
  <c r="M176" i="10" s="1"/>
  <c r="M57" i="10"/>
  <c r="J227" i="10"/>
  <c r="L227" i="10"/>
  <c r="M58" i="10"/>
  <c r="M225" i="10" l="1"/>
  <c r="M227" i="10"/>
  <c r="H227" i="10" l="1"/>
  <c r="H228" i="10" s="1"/>
  <c r="M228" i="10" s="1"/>
  <c r="M229" i="10" s="1"/>
  <c r="M230" i="10" s="1"/>
  <c r="M231" i="10" s="1"/>
  <c r="M232" i="10" s="1"/>
  <c r="M233" i="10" s="1"/>
  <c r="M234" i="10" s="1"/>
  <c r="M235" i="10" s="1"/>
  <c r="M236" i="10" s="1"/>
  <c r="M237" i="10" s="1"/>
  <c r="C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tc={FA416AE5-C858-47B3-8A60-C04F5BC457D0}</author>
    <author>tc={17104685-C0EB-4ECD-8047-B9CBF6A93ECC}</author>
  </authors>
  <commentList>
    <comment ref="C34" authorId="0" shapeId="0" xr:uid="{FA416AE5-C858-47B3-8A60-C04F5BC457D0}">
      <text>
        <t>[Threaded comment]
Your version of Excel allows you to read this threaded comment; however, any edits to it will get removed if the file is opened in a newer version of Excel. Learn more: https://go.microsoft.com/fwlink/?linkid=870924
Comment:
    ავეჯის განფასებაშია</t>
      </text>
    </comment>
    <comment ref="C52" authorId="1" shapeId="0" xr:uid="{17104685-C0EB-4ECD-8047-B9CBF6A93ECC}">
      <text>
        <t>[Threaded comment]
Your version of Excel allows you to read this threaded comment; however, any edits to it will get removed if the file is opened in a newer version of Excel. Learn more: https://go.microsoft.com/fwlink/?linkid=870924
Comment:
    ავეჯის განფასებაშია</t>
      </text>
    </comment>
  </commentList>
</comments>
</file>

<file path=xl/sharedStrings.xml><?xml version="1.0" encoding="utf-8"?>
<sst xmlns="http://schemas.openxmlformats.org/spreadsheetml/2006/main" count="3430" uniqueCount="1036">
  <si>
    <t>$</t>
  </si>
  <si>
    <t>##</t>
  </si>
  <si>
    <t>ნორმატივი</t>
  </si>
  <si>
    <t>სამუშაოების აღწერილობა</t>
  </si>
  <si>
    <t>განზ. ერთ.</t>
  </si>
  <si>
    <t>ჯამური (ლარი)</t>
  </si>
  <si>
    <t>რაოდენობა</t>
  </si>
  <si>
    <t xml:space="preserve">მასალები </t>
  </si>
  <si>
    <t>მუშაობა</t>
  </si>
  <si>
    <t xml:space="preserve"> ტრანსპორტი და მექანიზმი </t>
  </si>
  <si>
    <t>მთლიანი ჯამი (ლარი)</t>
  </si>
  <si>
    <t xml:space="preserve">ნორმა </t>
  </si>
  <si>
    <t xml:space="preserve">სულ </t>
  </si>
  <si>
    <t xml:space="preserve">ერთეული </t>
  </si>
  <si>
    <t>ერთეული</t>
  </si>
  <si>
    <t>2</t>
  </si>
  <si>
    <t>მ3</t>
  </si>
  <si>
    <t>შრომის ღირებულება</t>
  </si>
  <si>
    <t>კაც/სთ</t>
  </si>
  <si>
    <t>ცალი</t>
  </si>
  <si>
    <t>კგ</t>
  </si>
  <si>
    <t>სხვა მასალა</t>
  </si>
  <si>
    <t>ქაფი პოლიურეთანის 750მლ</t>
  </si>
  <si>
    <t>შველერი 12-იანი</t>
  </si>
  <si>
    <t>გ/მ</t>
  </si>
  <si>
    <t>ლარი</t>
  </si>
  <si>
    <t>9-14-6</t>
  </si>
  <si>
    <t>მ2</t>
  </si>
  <si>
    <t>ამწე 25ტ-მდე</t>
  </si>
  <si>
    <t>მანქ/სთ</t>
  </si>
  <si>
    <t>სხვა მანქანა</t>
  </si>
  <si>
    <t>მ</t>
  </si>
  <si>
    <t>11-8-1.2</t>
  </si>
  <si>
    <t>იატაკის მოჭიმვა</t>
  </si>
  <si>
    <t>ქვიშა-ცემენტის ხსნარი</t>
  </si>
  <si>
    <t>შრომის დანახარჯები</t>
  </si>
  <si>
    <t>მანქანები</t>
  </si>
  <si>
    <t>პროფილი UW</t>
  </si>
  <si>
    <t>პროფილი CW</t>
  </si>
  <si>
    <t>შურუპი TN25</t>
  </si>
  <si>
    <t>საკიდი</t>
  </si>
  <si>
    <t>პროფილის გადასაბმელი</t>
  </si>
  <si>
    <t>გამჭედი დუბელი K6/35</t>
  </si>
  <si>
    <t>საიზოლაციო ლენტი</t>
  </si>
  <si>
    <t>ქვაბამბა</t>
  </si>
  <si>
    <t>თაბაშირ-მუყაოს ფილა</t>
  </si>
  <si>
    <t>ფითხი კნაუფის</t>
  </si>
  <si>
    <t>სხვა მასალები</t>
  </si>
  <si>
    <t>34-59-7, გამოყ</t>
  </si>
  <si>
    <t>ჭერის პროფილი CD 60/27</t>
  </si>
  <si>
    <t xml:space="preserve">მიმმართველი პროფილი UD 28/27 </t>
  </si>
  <si>
    <t>CD პროფილის გადასაბმელი</t>
  </si>
  <si>
    <t xml:space="preserve">საკიდი CD პროფილისთვის  </t>
  </si>
  <si>
    <t>თვითმჭრელი სჭავლი LN 9</t>
  </si>
  <si>
    <t>თვითმჭრელი სჭავლი TN 25</t>
  </si>
  <si>
    <t xml:space="preserve">გამჭედი დუბელი K 6/40 </t>
  </si>
  <si>
    <t>ლენტა</t>
  </si>
  <si>
    <t>15-55-9</t>
  </si>
  <si>
    <t>ხსნარის ტუმბო 1მ3/სთ</t>
  </si>
  <si>
    <t xml:space="preserve">კერამოგრანიტის ფილა </t>
  </si>
  <si>
    <t>სულ</t>
  </si>
  <si>
    <t>ზედნადები ხარჯები</t>
  </si>
  <si>
    <t>მოგება</t>
  </si>
  <si>
    <t>დღგ</t>
  </si>
  <si>
    <t>სულ ჯამი</t>
  </si>
  <si>
    <t>4 გიფსო</t>
  </si>
  <si>
    <t>2 გიფსო</t>
  </si>
  <si>
    <t xml:space="preserve">თაბაშირ-მუყაოს კედლების მოწყობა </t>
  </si>
  <si>
    <t xml:space="preserve">ნესტგამძლე თაბაშირ-მუყაოს კედლების მოწყობა </t>
  </si>
  <si>
    <t xml:space="preserve">W1, W2, W12, W13, W14 </t>
  </si>
  <si>
    <t>W4, W6</t>
  </si>
  <si>
    <t>W5</t>
  </si>
  <si>
    <t>WL1, WL3</t>
  </si>
  <si>
    <t>WL2 WL10</t>
  </si>
  <si>
    <t>კედლების მოწყობა ბეტონის ბლოკით ზომებით 39*19*19</t>
  </si>
  <si>
    <t>ბეტონის ბლოკი ზომებით 39*19*19</t>
  </si>
  <si>
    <t>მანქანა-მექანიზმები</t>
  </si>
  <si>
    <t>არმატურა 8A240c</t>
  </si>
  <si>
    <t>ტ</t>
  </si>
  <si>
    <t>8-15-1</t>
  </si>
  <si>
    <t>8-7-3</t>
  </si>
  <si>
    <t>ტიხრების არმირება</t>
  </si>
  <si>
    <t>კედლების ლესვა ქვიშა-ცემენტის ხსნარით</t>
  </si>
  <si>
    <t xml:space="preserve">ქეჩის ლეიბი </t>
  </si>
  <si>
    <t>4.1-465</t>
  </si>
  <si>
    <t>4.1-391</t>
  </si>
  <si>
    <t>ჰიდროსაიზოლაციო მემბრანა</t>
  </si>
  <si>
    <t>არმირებული ბადე 100x100</t>
  </si>
  <si>
    <t>XPS თბოიზოლაცია 20მმ</t>
  </si>
  <si>
    <t>4.1-484</t>
  </si>
  <si>
    <t>სამაგრი დუბელები</t>
  </si>
  <si>
    <t>კედლები</t>
  </si>
  <si>
    <t>იატაკები</t>
  </si>
  <si>
    <t>ლამინატის დაგება</t>
  </si>
  <si>
    <t>11-27-7 (FW-01, 02, 03)</t>
  </si>
  <si>
    <t>წებო</t>
  </si>
  <si>
    <t>ლამინატის იატაკი</t>
  </si>
  <si>
    <t>5-92</t>
  </si>
  <si>
    <t>ლამინატის პლინტუსი</t>
  </si>
  <si>
    <t>გრძ.მ</t>
  </si>
  <si>
    <t>5-95</t>
  </si>
  <si>
    <t>ლამინატის დასაგები ღრუბელი</t>
  </si>
  <si>
    <t>5-88</t>
  </si>
  <si>
    <t>11-28 (FR-01)</t>
  </si>
  <si>
    <t>რეზინის იატაკის მოწყობა</t>
  </si>
  <si>
    <t xml:space="preserve">რეზინის იატაკი  </t>
  </si>
  <si>
    <t xml:space="preserve"> იატაკის კერამოგრანიტის ფილებით მოპირკეთება </t>
  </si>
  <si>
    <t>მოპრიალებული იატაკის მოწყობა</t>
  </si>
  <si>
    <t>11-14-2 (FCO-01)</t>
  </si>
  <si>
    <t>პორტლანდ-ცემენტი მარკით 400</t>
  </si>
  <si>
    <t>გისოსის იატაკები</t>
  </si>
  <si>
    <t>Sikafloor®-2 SynTop-SMOOTH STEEL TROWEL SURFACE</t>
  </si>
  <si>
    <t>საღებავი</t>
  </si>
  <si>
    <t>4.2-106</t>
  </si>
  <si>
    <t>საფითხნი</t>
  </si>
  <si>
    <t>4.2-72</t>
  </si>
  <si>
    <t xml:space="preserve">კედლების ღებვა </t>
  </si>
  <si>
    <t>ჭერები</t>
  </si>
  <si>
    <t>შეკიდული ჭერის მოწყობა ნესტგამძლე თაბაშირ-მუყაოს ფილებით</t>
  </si>
  <si>
    <t>ჭერის ლესვა ქვიშა-ცემენტის ხსნარით</t>
  </si>
  <si>
    <t>15-60-4</t>
  </si>
  <si>
    <t>ბადე</t>
  </si>
  <si>
    <t>ჭერის ღებვა</t>
  </si>
  <si>
    <t>15-168-8</t>
  </si>
  <si>
    <t>ფასადი</t>
  </si>
  <si>
    <t xml:space="preserve">ალუმინის ვიტრაჟების მონტაჟი  </t>
  </si>
  <si>
    <t>13-49</t>
  </si>
  <si>
    <t>ალუმინის ვიტრაჟები</t>
  </si>
  <si>
    <t>3-2</t>
  </si>
  <si>
    <t xml:space="preserve">ალუმინის კარების   </t>
  </si>
  <si>
    <t>ფასადის ლესვა</t>
  </si>
  <si>
    <t>15-51-1 (WL07)</t>
  </si>
  <si>
    <t>წებოცემენტი</t>
  </si>
  <si>
    <t>34-60-2</t>
  </si>
  <si>
    <t>ფასადის კედლების დათბუნება</t>
  </si>
  <si>
    <t>4.1-219</t>
  </si>
  <si>
    <t>ROCKWOOL მინაბამბა 100მმ</t>
  </si>
  <si>
    <t>მიუნხენი</t>
  </si>
  <si>
    <t>13-19.-9</t>
  </si>
  <si>
    <t>ვენტილირებადი ფასადი</t>
  </si>
  <si>
    <t>საბაზრო</t>
  </si>
  <si>
    <t>,,Alucobond''-ის ვენტილირებადი ფასადი (კონსტრუქცია+ფილა+დათბუნება)</t>
  </si>
  <si>
    <t>15-9-3</t>
  </si>
  <si>
    <t>ბუნებრივი ქვით მოპირკეთება (WL9)</t>
  </si>
  <si>
    <t>ბუნებრიბი ქვა</t>
  </si>
  <si>
    <t>10-20-3</t>
  </si>
  <si>
    <t>MDF კარის მონტაჟი</t>
  </si>
  <si>
    <t>5-72</t>
  </si>
  <si>
    <t>MDF კარი კომპლექტით</t>
  </si>
  <si>
    <t>TEMPERED GLASS DOOR (FRAMELESS)</t>
  </si>
  <si>
    <t>GIPSUM BOARD DOOR (SHAFT ACCESS)</t>
  </si>
  <si>
    <t>სადემონტაჟო სამუშაოები</t>
  </si>
  <si>
    <t>მოსაპირკეთებელი ქვების დემონტაჟი</t>
  </si>
  <si>
    <r>
      <t xml:space="preserve">ВЗЕР </t>
    </r>
    <r>
      <rPr>
        <b/>
        <sz val="9"/>
        <rFont val="Times New Roman"/>
        <family val="1"/>
      </rPr>
      <t>25-13-3</t>
    </r>
  </si>
  <si>
    <t>46-15-4</t>
  </si>
  <si>
    <t>ძველი ნალესის მოხსნა კედლებიდან</t>
  </si>
  <si>
    <t>რ/ბ ტიხრების დემონტაჟი</t>
  </si>
  <si>
    <t>46-25-2</t>
  </si>
  <si>
    <t>მასალების ტრანსპორტირება</t>
  </si>
  <si>
    <t>გაუთვალისწინებელი ხარჯები</t>
  </si>
  <si>
    <r>
      <t>Е1-19-1</t>
    </r>
    <r>
      <rPr>
        <b/>
        <u/>
        <sz val="10"/>
        <rFont val="Calibri"/>
        <family val="2"/>
        <charset val="204"/>
      </rPr>
      <t>a</t>
    </r>
    <r>
      <rPr>
        <b/>
        <u/>
        <sz val="10"/>
        <rFont val="AcadNusx"/>
      </rPr>
      <t>.</t>
    </r>
  </si>
  <si>
    <t>შენობის გასუფთავება სამშენებლო ნაგვისგან</t>
  </si>
  <si>
    <t>ნაგვის დატვირთვა ექსავატორით ჩამჩით 0.25მ3</t>
  </si>
  <si>
    <t>ექსკავატორი</t>
  </si>
  <si>
    <t>მ/სთ</t>
  </si>
  <si>
    <t>თვითმცლელი 30ტ-მდე</t>
  </si>
  <si>
    <t>№</t>
  </si>
  <si>
    <t>საფუძველი</t>
  </si>
  <si>
    <t>სამუშაოს დასახელება</t>
  </si>
  <si>
    <t>ნორმატიული რესურსი</t>
  </si>
  <si>
    <t>მასალა</t>
  </si>
  <si>
    <t>ხელფასი</t>
  </si>
  <si>
    <t>სამშენებლო მექანიზმები</t>
  </si>
  <si>
    <t>ჯამი</t>
  </si>
  <si>
    <t>განზ.</t>
  </si>
  <si>
    <t>ერთეულზე</t>
  </si>
  <si>
    <t>ერთ.ფასი</t>
  </si>
  <si>
    <t>კანალიზაციის დგარების მოწყობა</t>
  </si>
  <si>
    <t>16-6-2</t>
  </si>
  <si>
    <t>საკანალიზაციო მილები 100მმ</t>
  </si>
  <si>
    <t>შრომითი რესურსი</t>
  </si>
  <si>
    <t>მილი საკანალიზაცო 100მმ</t>
  </si>
  <si>
    <t>6-188</t>
  </si>
  <si>
    <t>100მმ მილის სამაგრი ხრახნიანი ღეროთი</t>
  </si>
  <si>
    <t>16-6-1</t>
  </si>
  <si>
    <t>საკანალიზაციო მილები 50მმ</t>
  </si>
  <si>
    <t>მილი საკანალიზაცო 50მმ</t>
  </si>
  <si>
    <t>საკანალიზაციო მილები 150მმ</t>
  </si>
  <si>
    <t>მილი საკანალიზაცო 150მმ</t>
  </si>
  <si>
    <t>6-189</t>
  </si>
  <si>
    <t>150მმ მილის სამაგრი ხრახნიანი ღეროთი</t>
  </si>
  <si>
    <t>საკანალიზაციო მილები 70მმ</t>
  </si>
  <si>
    <t>მილი საკანალიზაცო 70მმ</t>
  </si>
  <si>
    <t>16-24-6</t>
  </si>
  <si>
    <t>პოლიეთილენის მილი PN-10 d=63მმ</t>
  </si>
  <si>
    <t>22-23-3</t>
  </si>
  <si>
    <t>ფასონური ნაწილების მოწყობა</t>
  </si>
  <si>
    <t>6-682</t>
  </si>
  <si>
    <r>
      <t>სამკაპი 100*100 45</t>
    </r>
    <r>
      <rPr>
        <sz val="10"/>
        <rFont val="Calibri"/>
        <family val="2"/>
      </rPr>
      <t>°</t>
    </r>
  </si>
  <si>
    <t>6-695</t>
  </si>
  <si>
    <r>
      <t>სამკაპი 100*100 90</t>
    </r>
    <r>
      <rPr>
        <sz val="10"/>
        <rFont val="Calibri"/>
        <family val="2"/>
      </rPr>
      <t>°</t>
    </r>
  </si>
  <si>
    <t>6-680</t>
  </si>
  <si>
    <r>
      <t>სამკაპი 100*50 45</t>
    </r>
    <r>
      <rPr>
        <sz val="10"/>
        <rFont val="Calibri"/>
        <family val="2"/>
      </rPr>
      <t>°</t>
    </r>
  </si>
  <si>
    <t>6-452</t>
  </si>
  <si>
    <r>
      <t>გაშლილი მუხლი 100 45</t>
    </r>
    <r>
      <rPr>
        <sz val="10"/>
        <rFont val="Calibri"/>
        <family val="2"/>
      </rPr>
      <t>°</t>
    </r>
  </si>
  <si>
    <t>6-457</t>
  </si>
  <si>
    <r>
      <t xml:space="preserve"> მუხლი 100 90</t>
    </r>
    <r>
      <rPr>
        <sz val="10"/>
        <rFont val="Calibri"/>
        <family val="2"/>
      </rPr>
      <t>°</t>
    </r>
  </si>
  <si>
    <t>6-450</t>
  </si>
  <si>
    <r>
      <t>გაშლილი მუხლი 50 45</t>
    </r>
    <r>
      <rPr>
        <sz val="10"/>
        <rFont val="Calibri"/>
        <family val="2"/>
      </rPr>
      <t>°</t>
    </r>
  </si>
  <si>
    <t>6-693</t>
  </si>
  <si>
    <r>
      <t>სამკაპი 100*50 90</t>
    </r>
    <r>
      <rPr>
        <sz val="10"/>
        <rFont val="Calibri"/>
        <family val="2"/>
      </rPr>
      <t>°</t>
    </r>
  </si>
  <si>
    <t>6-677</t>
  </si>
  <si>
    <r>
      <t>სამკაპი 50*50 45</t>
    </r>
    <r>
      <rPr>
        <sz val="10"/>
        <rFont val="Calibri"/>
        <family val="2"/>
      </rPr>
      <t>°</t>
    </r>
  </si>
  <si>
    <t>6-690</t>
  </si>
  <si>
    <r>
      <t>სამკაპი 50*50 90</t>
    </r>
    <r>
      <rPr>
        <sz val="10"/>
        <rFont val="Calibri"/>
        <family val="2"/>
      </rPr>
      <t>°</t>
    </r>
  </si>
  <si>
    <t>6-455</t>
  </si>
  <si>
    <r>
      <t xml:space="preserve"> მუხლი 50 90</t>
    </r>
    <r>
      <rPr>
        <sz val="10"/>
        <rFont val="Calibri"/>
        <family val="2"/>
      </rPr>
      <t>°</t>
    </r>
  </si>
  <si>
    <t>6-344</t>
  </si>
  <si>
    <t xml:space="preserve">გადამყვანი 100*50 </t>
  </si>
  <si>
    <t>6-689</t>
  </si>
  <si>
    <r>
      <t>სამკაპი 150*150 45</t>
    </r>
    <r>
      <rPr>
        <sz val="10"/>
        <rFont val="Calibri"/>
        <family val="2"/>
      </rPr>
      <t>°</t>
    </r>
  </si>
  <si>
    <t>6-687</t>
  </si>
  <si>
    <r>
      <t>სამკაპი 150*100 45</t>
    </r>
    <r>
      <rPr>
        <sz val="10"/>
        <rFont val="Calibri"/>
        <family val="2"/>
      </rPr>
      <t>°</t>
    </r>
  </si>
  <si>
    <t>6-453</t>
  </si>
  <si>
    <r>
      <t>გაშლილი მუხლი 150 45</t>
    </r>
    <r>
      <rPr>
        <sz val="10"/>
        <rFont val="Calibri"/>
        <family val="2"/>
      </rPr>
      <t>°</t>
    </r>
  </si>
  <si>
    <t>150*90° გაშლილი მუხლი</t>
  </si>
  <si>
    <t>70*45° გაშლილი მუხლი</t>
  </si>
  <si>
    <t>70*90° გაშლილი მუხლი</t>
  </si>
  <si>
    <t xml:space="preserve">გადამყვანი 150*50 </t>
  </si>
  <si>
    <t xml:space="preserve">გადამყვანი 150*100 </t>
  </si>
  <si>
    <t>გადამყვანი 150*70</t>
  </si>
  <si>
    <t>6-733</t>
  </si>
  <si>
    <r>
      <t>სამკაპი (ჯვარედინი) 150*100 45</t>
    </r>
    <r>
      <rPr>
        <sz val="10"/>
        <rFont val="Calibri"/>
        <family val="2"/>
      </rPr>
      <t>°</t>
    </r>
  </si>
  <si>
    <t>6-732</t>
  </si>
  <si>
    <r>
      <t>სამკაპი 150*70 45</t>
    </r>
    <r>
      <rPr>
        <sz val="10"/>
        <rFont val="Calibri"/>
        <family val="2"/>
      </rPr>
      <t>°</t>
    </r>
  </si>
  <si>
    <t>6-685</t>
  </si>
  <si>
    <r>
      <t>სამკაპი 150*50 45</t>
    </r>
    <r>
      <rPr>
        <sz val="10"/>
        <rFont val="Calibri"/>
        <family val="2"/>
      </rPr>
      <t>°</t>
    </r>
  </si>
  <si>
    <t>6-724</t>
  </si>
  <si>
    <t>100*100 ჯვარედი 45°</t>
  </si>
  <si>
    <t>6-681</t>
  </si>
  <si>
    <r>
      <t>სამკაპი 100*70 45</t>
    </r>
    <r>
      <rPr>
        <sz val="10"/>
        <rFont val="Calibri"/>
        <family val="2"/>
      </rPr>
      <t>°</t>
    </r>
  </si>
  <si>
    <t>6-694</t>
  </si>
  <si>
    <r>
      <t>სამკაპი 100*70 90</t>
    </r>
    <r>
      <rPr>
        <sz val="10"/>
        <rFont val="Calibri"/>
        <family val="2"/>
      </rPr>
      <t>°</t>
    </r>
  </si>
  <si>
    <t>16-12-3</t>
  </si>
  <si>
    <t>150მმ ხუფების მონტაჟი</t>
  </si>
  <si>
    <t>6-605</t>
  </si>
  <si>
    <t>150მმ ხუფი</t>
  </si>
  <si>
    <t>16-12-2</t>
  </si>
  <si>
    <t>100მმ ხუფების მონტაჟი</t>
  </si>
  <si>
    <t>6-604</t>
  </si>
  <si>
    <t>100მმ ხუფი</t>
  </si>
  <si>
    <t>16-12-1</t>
  </si>
  <si>
    <t>50მმ ხუფების მონტაჟი</t>
  </si>
  <si>
    <t>6-602</t>
  </si>
  <si>
    <t>50მმ ხუფი</t>
  </si>
  <si>
    <t>150მმ რევიზია</t>
  </si>
  <si>
    <t>გვ66-59</t>
  </si>
  <si>
    <t>100მმ რევიზია</t>
  </si>
  <si>
    <t>გვ66-58</t>
  </si>
  <si>
    <t>16-8-5</t>
  </si>
  <si>
    <t>ფოლადის მილი 200მმ</t>
  </si>
  <si>
    <t>გვ.12-13</t>
  </si>
  <si>
    <t>22-17-1</t>
  </si>
  <si>
    <t>მილების კაუჩუკის თბოიზოლაცია</t>
  </si>
  <si>
    <t>კაუჩუკის იზოლაცია 150მმ მილისთვის</t>
  </si>
  <si>
    <t>კაუჩუკის იზოლაცია 100მმ მილისთვის</t>
  </si>
  <si>
    <t>კაუჩუკის იზოლაცია 50მმ მილისთვის</t>
  </si>
  <si>
    <t>100მმ სავენტილაციო სარქველი (კანალიზაციის დგარის ვენტილაციისთვის)</t>
  </si>
  <si>
    <t>კომპ.</t>
  </si>
  <si>
    <t>6-233</t>
  </si>
  <si>
    <t>მოწყობილობები</t>
  </si>
  <si>
    <t>17-1-5</t>
  </si>
  <si>
    <t>უნიტაზის შეძენა მონტაჟი</t>
  </si>
  <si>
    <t>უნიტაზის ღირებულება (კომპლექტი)</t>
  </si>
  <si>
    <t>სიფონი</t>
  </si>
  <si>
    <t>უნიტაზის შეძენა მონტაჟი (შშმპ)</t>
  </si>
  <si>
    <t xml:space="preserve">პირსაბანის შეძენა მონტაჟი </t>
  </si>
  <si>
    <t>პირსაბანის ღირებულება კომპლექტი</t>
  </si>
  <si>
    <t>პირსაბანის ღირებულება კომპლექტი (შშმპ)</t>
  </si>
  <si>
    <t xml:space="preserve">ნიჟარის შეძენა მონტაჟი </t>
  </si>
  <si>
    <t>ნიჟარის ღირებულება</t>
  </si>
  <si>
    <t>17-1-9</t>
  </si>
  <si>
    <t xml:space="preserve">50მმ ტრაპის შეძენა მონტაჟი </t>
  </si>
  <si>
    <t>50მმ ტრაპი (გვერდითა მიერთებით)</t>
  </si>
  <si>
    <t>50მმ ტრაპი (ვერტიკალური მიერთებით)</t>
  </si>
  <si>
    <t>17-1-10</t>
  </si>
  <si>
    <t xml:space="preserve">100მმ ტრაპის შეძენა მონტაჟი </t>
  </si>
  <si>
    <t>100მმ ტრაპი (პირდაპირი მიერთებით)</t>
  </si>
  <si>
    <t>დანადგარები</t>
  </si>
  <si>
    <t>18-8-1</t>
  </si>
  <si>
    <t>სადრენაჟე ტუმბო  Q=2.0მ³/სთ H-10მ
ავტომატიკით</t>
  </si>
  <si>
    <t>ფეკალური ტუმბო  Q=2.0მ³/სთ H-10მ
ავტომატიკით</t>
  </si>
  <si>
    <t>18-6-2</t>
  </si>
  <si>
    <t>ცხიმდამჭერი მოცულობით 1500 ლიტრი (ცხიმის გადამქაჩველი ტუმბოთი და ავტომატიკით)</t>
  </si>
  <si>
    <t>დამხმარე და საინსტალაციო მასალები</t>
  </si>
  <si>
    <t>წყალი</t>
  </si>
  <si>
    <t>16-24-7</t>
  </si>
  <si>
    <t>Ø90*12.3მმ  PP PN 20 მილი</t>
  </si>
  <si>
    <t>გვ.20-162</t>
  </si>
  <si>
    <t>90მმ მილის სამაგრი მეტალის შტირით</t>
  </si>
  <si>
    <t>Ø75*10.3მმ  PP PN 20 მილი</t>
  </si>
  <si>
    <t>გვ.20-161</t>
  </si>
  <si>
    <t>75მმ მილის სამაგრი მეტალის შტირით</t>
  </si>
  <si>
    <t>Ø63*8.5მმ   PP PN 20 მილი</t>
  </si>
  <si>
    <t>გვ.20-160</t>
  </si>
  <si>
    <t>63მმ მილის სამაგრი მეტალის შტირით</t>
  </si>
  <si>
    <t>16-24-5</t>
  </si>
  <si>
    <t>Ø50*6.9მმ   PP PN 20 მილი</t>
  </si>
  <si>
    <t>გვ.20-159</t>
  </si>
  <si>
    <t>50მმ მილის სამაგრი მეტალის შტირით</t>
  </si>
  <si>
    <t>Ø40*5.5მმ   PP PN 20 მილი</t>
  </si>
  <si>
    <t>გვ.20-158</t>
  </si>
  <si>
    <t>40მმ მილის სამაგრი მეტალის შტირით</t>
  </si>
  <si>
    <t>16-24-4</t>
  </si>
  <si>
    <t>Ø32*4,4მმ   PP PN 20 მილი</t>
  </si>
  <si>
    <t>გვ.20-157</t>
  </si>
  <si>
    <t>32მმ მილის სამაგრი მეტალის შტირით</t>
  </si>
  <si>
    <t>16-24-3</t>
  </si>
  <si>
    <t>Ø25*3.5მმ   PP PN 20 მილი</t>
  </si>
  <si>
    <t>გვ.20-156</t>
  </si>
  <si>
    <t>25მმ მილის სამაგრი მეტალის შტირით</t>
  </si>
  <si>
    <t>16-24-2</t>
  </si>
  <si>
    <t>Ø20*2.9მმ   PP PN 20 მილი</t>
  </si>
  <si>
    <t>გვ.20-155</t>
  </si>
  <si>
    <t>20მმ მილის სამაგრი მეტალის შტირით</t>
  </si>
  <si>
    <t>6-645</t>
  </si>
  <si>
    <t xml:space="preserve">90მმ სამკაპი </t>
  </si>
  <si>
    <t xml:space="preserve">90/75/75მმ სამკაპი </t>
  </si>
  <si>
    <t>6-644</t>
  </si>
  <si>
    <t xml:space="preserve">75მმ სამკაპი </t>
  </si>
  <si>
    <t>6-643</t>
  </si>
  <si>
    <t xml:space="preserve">63მმ სამკაპი </t>
  </si>
  <si>
    <t>6-675</t>
  </si>
  <si>
    <t xml:space="preserve">63/25/63მმ სამკაპი </t>
  </si>
  <si>
    <t>6-673</t>
  </si>
  <si>
    <t xml:space="preserve">50/25/50მმ სამკაპი </t>
  </si>
  <si>
    <t>6-671</t>
  </si>
  <si>
    <t xml:space="preserve">40/25/40მმ სამკაპი </t>
  </si>
  <si>
    <t xml:space="preserve">40/20/40მმ სამკაპი </t>
  </si>
  <si>
    <t>6-670</t>
  </si>
  <si>
    <t xml:space="preserve">32/25/32მმ სამკაპი </t>
  </si>
  <si>
    <t xml:space="preserve">32/20/32მმ სამკაპი </t>
  </si>
  <si>
    <t>6-639</t>
  </si>
  <si>
    <t xml:space="preserve">25მმ სამკაპი </t>
  </si>
  <si>
    <t>6-669</t>
  </si>
  <si>
    <t xml:space="preserve">25/20/25მმ სამკაპი </t>
  </si>
  <si>
    <t>6-638</t>
  </si>
  <si>
    <t xml:space="preserve">20მმ სამკაპი </t>
  </si>
  <si>
    <t>20 1/2" სამონტაჟო მუხლი შ/ხ დუბლი (საშხაპესთვის)</t>
  </si>
  <si>
    <t>20 1/2" მუხლი შ/ხ</t>
  </si>
  <si>
    <t>6-426</t>
  </si>
  <si>
    <r>
      <t>90მმ მუხლი 90</t>
    </r>
    <r>
      <rPr>
        <vertAlign val="superscript"/>
        <sz val="10"/>
        <rFont val="Sylfaen"/>
        <family val="1"/>
      </rPr>
      <t>0</t>
    </r>
  </si>
  <si>
    <t>6-425</t>
  </si>
  <si>
    <r>
      <t>75მმ მუხლი 90</t>
    </r>
    <r>
      <rPr>
        <vertAlign val="superscript"/>
        <sz val="10"/>
        <rFont val="Sylfaen"/>
        <family val="1"/>
      </rPr>
      <t>0</t>
    </r>
  </si>
  <si>
    <t>6-424</t>
  </si>
  <si>
    <r>
      <t>63მმ მუხლი 90</t>
    </r>
    <r>
      <rPr>
        <vertAlign val="superscript"/>
        <sz val="10"/>
        <rFont val="Sylfaen"/>
        <family val="1"/>
      </rPr>
      <t>0</t>
    </r>
  </si>
  <si>
    <t>6-423</t>
  </si>
  <si>
    <r>
      <t>50მმ მუხლი 90</t>
    </r>
    <r>
      <rPr>
        <vertAlign val="superscript"/>
        <sz val="10"/>
        <rFont val="Sylfaen"/>
        <family val="1"/>
      </rPr>
      <t>0</t>
    </r>
  </si>
  <si>
    <t>6-422</t>
  </si>
  <si>
    <r>
      <t>40მმ მუხლი 90</t>
    </r>
    <r>
      <rPr>
        <vertAlign val="superscript"/>
        <sz val="10"/>
        <rFont val="Sylfaen"/>
        <family val="1"/>
      </rPr>
      <t>0</t>
    </r>
  </si>
  <si>
    <t>6-421</t>
  </si>
  <si>
    <r>
      <t>32მმ მუხლი 90</t>
    </r>
    <r>
      <rPr>
        <vertAlign val="superscript"/>
        <sz val="10"/>
        <rFont val="Sylfaen"/>
        <family val="1"/>
      </rPr>
      <t>0</t>
    </r>
  </si>
  <si>
    <t>6-420</t>
  </si>
  <si>
    <r>
      <t>25მმ მუხლი 90</t>
    </r>
    <r>
      <rPr>
        <vertAlign val="superscript"/>
        <sz val="10"/>
        <rFont val="Sylfaen"/>
        <family val="1"/>
      </rPr>
      <t>0</t>
    </r>
  </si>
  <si>
    <t>6-419</t>
  </si>
  <si>
    <r>
      <t>20მმ მუხლი 90</t>
    </r>
    <r>
      <rPr>
        <vertAlign val="superscript"/>
        <sz val="10"/>
        <rFont val="Sylfaen"/>
        <family val="1"/>
      </rPr>
      <t>0</t>
    </r>
  </si>
  <si>
    <t>6-418</t>
  </si>
  <si>
    <r>
      <t>75მმ მუხლი 45</t>
    </r>
    <r>
      <rPr>
        <vertAlign val="superscript"/>
        <sz val="10"/>
        <rFont val="Sylfaen"/>
        <family val="1"/>
      </rPr>
      <t>0</t>
    </r>
  </si>
  <si>
    <t>6-417</t>
  </si>
  <si>
    <r>
      <t>63მმ მუხლი 45</t>
    </r>
    <r>
      <rPr>
        <vertAlign val="superscript"/>
        <sz val="10"/>
        <rFont val="Sylfaen"/>
        <family val="1"/>
      </rPr>
      <t>0</t>
    </r>
  </si>
  <si>
    <t>6-416</t>
  </si>
  <si>
    <r>
      <t>50მმ მუხლი 45</t>
    </r>
    <r>
      <rPr>
        <vertAlign val="superscript"/>
        <sz val="10"/>
        <rFont val="Sylfaen"/>
        <family val="1"/>
      </rPr>
      <t>0</t>
    </r>
  </si>
  <si>
    <t>6-415</t>
  </si>
  <si>
    <r>
      <t>40მმ მუხლი 45</t>
    </r>
    <r>
      <rPr>
        <vertAlign val="superscript"/>
        <sz val="10"/>
        <rFont val="Sylfaen"/>
        <family val="1"/>
      </rPr>
      <t>0</t>
    </r>
  </si>
  <si>
    <t>6-414</t>
  </si>
  <si>
    <r>
      <t>32მმ მუხლი 45</t>
    </r>
    <r>
      <rPr>
        <vertAlign val="superscript"/>
        <sz val="10"/>
        <rFont val="Sylfaen"/>
        <family val="1"/>
      </rPr>
      <t>0</t>
    </r>
  </si>
  <si>
    <t>6-413</t>
  </si>
  <si>
    <r>
      <t>25მმ მუხლი 45</t>
    </r>
    <r>
      <rPr>
        <vertAlign val="superscript"/>
        <sz val="10"/>
        <rFont val="Sylfaen"/>
        <family val="1"/>
      </rPr>
      <t>0</t>
    </r>
  </si>
  <si>
    <t>6-412</t>
  </si>
  <si>
    <r>
      <t>20მმ მუხლი 45</t>
    </r>
    <r>
      <rPr>
        <vertAlign val="superscript"/>
        <sz val="10"/>
        <rFont val="Sylfaen"/>
        <family val="1"/>
      </rPr>
      <t>0</t>
    </r>
  </si>
  <si>
    <t xml:space="preserve">90-75მმ გადამყვანი </t>
  </si>
  <si>
    <t>6-341</t>
  </si>
  <si>
    <t xml:space="preserve">90-63მმ გადამყვანი </t>
  </si>
  <si>
    <t>6-337</t>
  </si>
  <si>
    <t xml:space="preserve">75-63მმ გადამყვანი </t>
  </si>
  <si>
    <t>6-335</t>
  </si>
  <si>
    <t xml:space="preserve">63-50მმ გადამყვანი </t>
  </si>
  <si>
    <t xml:space="preserve">63-40მმ გადამყვანი </t>
  </si>
  <si>
    <t xml:space="preserve">63-25მმ გადამყვანი </t>
  </si>
  <si>
    <t xml:space="preserve">50-40მმ გადამყვანი </t>
  </si>
  <si>
    <t xml:space="preserve">40-32მმ გადამყვანი </t>
  </si>
  <si>
    <t>6-332</t>
  </si>
  <si>
    <t xml:space="preserve">40-25მმ გადამყვანი </t>
  </si>
  <si>
    <t>6-330</t>
  </si>
  <si>
    <t xml:space="preserve">32-25მმ გადამყვანი </t>
  </si>
  <si>
    <t>6-328</t>
  </si>
  <si>
    <t xml:space="preserve">25-20მმ გადამყვანი </t>
  </si>
  <si>
    <t>6-95</t>
  </si>
  <si>
    <t>90მმ  სფერული ვენტილი</t>
  </si>
  <si>
    <t>6-94</t>
  </si>
  <si>
    <t>75მმ  სფერული ვენტილი</t>
  </si>
  <si>
    <t>6-93</t>
  </si>
  <si>
    <t>63მმ  სფერული ვენტილი</t>
  </si>
  <si>
    <t>6-557</t>
  </si>
  <si>
    <t xml:space="preserve">90მმ ქურო </t>
  </si>
  <si>
    <t>6-556</t>
  </si>
  <si>
    <t xml:space="preserve">75მმ ქურო </t>
  </si>
  <si>
    <t>6-555</t>
  </si>
  <si>
    <t xml:space="preserve">63მმ ქურო </t>
  </si>
  <si>
    <t>6-83</t>
  </si>
  <si>
    <t>50მმ  სფერული ვენტილი</t>
  </si>
  <si>
    <t>6-91</t>
  </si>
  <si>
    <t>40მმ  სფერული ვენტილი</t>
  </si>
  <si>
    <t>6-90</t>
  </si>
  <si>
    <t>32მმ  სფერული ვენტილი</t>
  </si>
  <si>
    <t>25მმ  სფერული ვენტილი</t>
  </si>
  <si>
    <t>20მმ  სფერული ვენტილი</t>
  </si>
  <si>
    <t>არკოს ვენტილი 1/2-1/2 უნიტაზისთვის</t>
  </si>
  <si>
    <t>არკოს ვენტილი 1/2-3/8 1/2-1/2 (პირსაბანი, საშხაპე)</t>
  </si>
  <si>
    <t>6-554</t>
  </si>
  <si>
    <t xml:space="preserve">50მმ ქურო </t>
  </si>
  <si>
    <t>6-553</t>
  </si>
  <si>
    <t xml:space="preserve">40მმ ქურო </t>
  </si>
  <si>
    <t>6-552</t>
  </si>
  <si>
    <t xml:space="preserve">32მმ ქურო </t>
  </si>
  <si>
    <t>6-551</t>
  </si>
  <si>
    <t xml:space="preserve">25მმ ქურო </t>
  </si>
  <si>
    <t>6-550</t>
  </si>
  <si>
    <t xml:space="preserve">20მმ ქურო </t>
  </si>
  <si>
    <t>6-590</t>
  </si>
  <si>
    <t>20მმ ხუფი ხრახნიანი</t>
  </si>
  <si>
    <t>18-14-1</t>
  </si>
  <si>
    <t>ფილტრის შეძენა და მოწყობა დ=90მმ</t>
  </si>
  <si>
    <t>ფილტრი 90მმ</t>
  </si>
  <si>
    <t>Ø90mm მილის თბოიზოლაცია</t>
  </si>
  <si>
    <t>Ø75mm მილის თბოიზოლაცია</t>
  </si>
  <si>
    <t>Ø63mm მილის თბოიზოლაცია</t>
  </si>
  <si>
    <t>Ø50mm მილის თბოიზოლაცია</t>
  </si>
  <si>
    <t>Ø40mm მილის თბოიზოლაცია</t>
  </si>
  <si>
    <t>Ø32mm მილის თბოიზოლაცია</t>
  </si>
  <si>
    <t>Ø25mm მილის თბოიზოლაცია</t>
  </si>
  <si>
    <t>Ø20mm მილის თბოიზოლაცია</t>
  </si>
  <si>
    <t>17-3-3</t>
  </si>
  <si>
    <t>ცივი და ცხელი წყლის შემრევების მონტაჟი</t>
  </si>
  <si>
    <t>ცივი და ცხელი წყლის შემრევი პირსაბანისთვის</t>
  </si>
  <si>
    <t>ცივი და ცხელი წყლის შემრევი შშმპ პირსაბანისთვის</t>
  </si>
  <si>
    <t>ცივი და ცხელი წყლის შემრევი საშხაპესათვის</t>
  </si>
  <si>
    <t>სატუმბო სადგური H=40მ  2xQ=6მ/სთ სიხშირული მართვით (ორტუმბოიანი კომპლექტით)</t>
  </si>
  <si>
    <t>ავზი მოცულობით 40მ3</t>
  </si>
  <si>
    <t>განფასება</t>
  </si>
  <si>
    <t>(susti denebis masalaTa specifikacia )</t>
  </si>
  <si>
    <t>პროექტი: სასტმურო მესტიაში</t>
  </si>
  <si>
    <t>dasaxeleba</t>
  </si>
  <si>
    <t>raod.</t>
  </si>
  <si>
    <t>ganz.</t>
  </si>
  <si>
    <t xml:space="preserve">მასალები/Materials </t>
  </si>
  <si>
    <t xml:space="preserve">ინსტალაცია/Labour </t>
  </si>
  <si>
    <t>ტრანსპ/Transportation</t>
  </si>
  <si>
    <t>სულ/Total</t>
  </si>
  <si>
    <t xml:space="preserve">ერთ.Unit Material </t>
  </si>
  <si>
    <t xml:space="preserve">ჯამი/ Sum Material </t>
  </si>
  <si>
    <t xml:space="preserve">ერთ/Unit Labour </t>
  </si>
  <si>
    <t xml:space="preserve">ჯამი/Total Labour </t>
  </si>
  <si>
    <t>ერთ/Unit Transp.</t>
  </si>
  <si>
    <t>ჯამი/Total Transp.</t>
  </si>
  <si>
    <t>kompiuteruli qseli</t>
  </si>
  <si>
    <r>
      <t>kompiuteruli qselis kabeli</t>
    </r>
    <r>
      <rPr>
        <sz val="10"/>
        <color indexed="8"/>
        <rFont val="Arial"/>
        <family val="2"/>
        <charset val="204"/>
      </rPr>
      <t xml:space="preserve"> UTP LSZH Cat 6</t>
    </r>
  </si>
  <si>
    <t>m</t>
  </si>
  <si>
    <r>
      <t>kompiuteruli qselis kabeli</t>
    </r>
    <r>
      <rPr>
        <sz val="10"/>
        <color indexed="8"/>
        <rFont val="Arial"/>
        <family val="2"/>
        <charset val="204"/>
      </rPr>
      <t xml:space="preserve"> FTP LSZH Cat 5e</t>
    </r>
  </si>
  <si>
    <r>
      <t xml:space="preserve">sakomunikacio karada </t>
    </r>
    <r>
      <rPr>
        <sz val="10"/>
        <color indexed="8"/>
        <rFont val="Arial"/>
        <family val="2"/>
        <charset val="204"/>
      </rPr>
      <t>RACK 22U</t>
    </r>
    <r>
      <rPr>
        <sz val="10"/>
        <color indexed="8"/>
        <rFont val="AcadNusx"/>
      </rPr>
      <t xml:space="preserve"> (TermostatiT da ventilatorebis blokiT)</t>
    </r>
  </si>
  <si>
    <t>komp.</t>
  </si>
  <si>
    <r>
      <t xml:space="preserve">sakomunikacio karada </t>
    </r>
    <r>
      <rPr>
        <sz val="10"/>
        <color indexed="8"/>
        <rFont val="Arial"/>
        <family val="2"/>
        <charset val="204"/>
      </rPr>
      <t>RACK 18U</t>
    </r>
    <r>
      <rPr>
        <sz val="10"/>
        <color indexed="8"/>
        <rFont val="AcadNusx"/>
      </rPr>
      <t xml:space="preserve"> (TermostatiT da ventilatorebis blokiT)</t>
    </r>
  </si>
  <si>
    <r>
      <rPr>
        <sz val="10"/>
        <color indexed="8"/>
        <rFont val="AcadNusx"/>
      </rPr>
      <t>uwyveti kvebis bloki,</t>
    </r>
    <r>
      <rPr>
        <sz val="10"/>
        <color indexed="8"/>
        <rFont val="Arial"/>
        <family val="2"/>
        <charset val="204"/>
      </rPr>
      <t xml:space="preserve"> Smart UPS 3000 VA</t>
    </r>
  </si>
  <si>
    <t>c</t>
  </si>
  <si>
    <r>
      <rPr>
        <sz val="10"/>
        <color indexed="8"/>
        <rFont val="AcadNusx"/>
      </rPr>
      <t>uwyveti kvebis bloki,</t>
    </r>
    <r>
      <rPr>
        <sz val="10"/>
        <color indexed="8"/>
        <rFont val="Arial"/>
        <family val="2"/>
        <charset val="204"/>
      </rPr>
      <t xml:space="preserve"> Smart UPS 2000 VA</t>
    </r>
  </si>
  <si>
    <r>
      <t>rekSi Casayenebeli denis gamanawilebeli</t>
    </r>
    <r>
      <rPr>
        <sz val="10"/>
        <color indexed="8"/>
        <rFont val="Arial"/>
        <family val="2"/>
        <charset val="204"/>
      </rPr>
      <t xml:space="preserve"> PDU-8</t>
    </r>
  </si>
  <si>
    <r>
      <t xml:space="preserve">paCpaneli </t>
    </r>
    <r>
      <rPr>
        <sz val="10"/>
        <color indexed="8"/>
        <rFont val="Arial"/>
        <family val="2"/>
        <charset val="204"/>
      </rPr>
      <t>24</t>
    </r>
    <r>
      <rPr>
        <sz val="10"/>
        <color indexed="8"/>
        <rFont val="AcadNusx"/>
      </rPr>
      <t xml:space="preserve"> portiani </t>
    </r>
    <r>
      <rPr>
        <sz val="10"/>
        <color indexed="8"/>
        <rFont val="Arial"/>
        <family val="2"/>
        <charset val="204"/>
      </rPr>
      <t xml:space="preserve">Cat 5e </t>
    </r>
  </si>
  <si>
    <r>
      <t>qselis komutatori</t>
    </r>
    <r>
      <rPr>
        <sz val="10"/>
        <color indexed="8"/>
        <rFont val="Arial"/>
        <family val="2"/>
        <charset val="204"/>
      </rPr>
      <t xml:space="preserve">  24  </t>
    </r>
    <r>
      <rPr>
        <sz val="10"/>
        <color indexed="8"/>
        <rFont val="AcadNusx"/>
      </rPr>
      <t>portiani (</t>
    </r>
    <r>
      <rPr>
        <sz val="10"/>
        <color indexed="8"/>
        <rFont val="Arial"/>
        <family val="2"/>
        <charset val="204"/>
      </rPr>
      <t xml:space="preserve">DATA,IPTV,VoIP)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</si>
  <si>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t>qselis komutatori</t>
    </r>
    <r>
      <rPr>
        <sz val="10"/>
        <color indexed="8"/>
        <rFont val="Arial"/>
        <family val="2"/>
        <charset val="204"/>
      </rPr>
      <t xml:space="preserve">  48  </t>
    </r>
    <r>
      <rPr>
        <sz val="10"/>
        <color indexed="8"/>
        <rFont val="AcadNusx"/>
      </rPr>
      <t>portiani (</t>
    </r>
    <r>
      <rPr>
        <sz val="10"/>
        <color indexed="8"/>
        <rFont val="Arial"/>
        <family val="2"/>
        <charset val="204"/>
      </rPr>
      <t xml:space="preserve">DATA,IPTV,VoIP)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</si>
  <si>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t xml:space="preserve">kompiuteris rozeti </t>
    </r>
    <r>
      <rPr>
        <sz val="10"/>
        <color indexed="8"/>
        <rFont val="Arial"/>
        <family val="2"/>
        <charset val="204"/>
      </rPr>
      <t>RJ45</t>
    </r>
    <r>
      <rPr>
        <sz val="10"/>
        <color indexed="8"/>
        <rFont val="AcadNusx"/>
      </rPr>
      <t xml:space="preserve"> (me-</t>
    </r>
    <r>
      <rPr>
        <sz val="10"/>
        <color indexed="8"/>
        <rFont val="Arial"/>
        <family val="2"/>
        <charset val="204"/>
      </rPr>
      <t>5</t>
    </r>
    <r>
      <rPr>
        <sz val="10"/>
        <color indexed="8"/>
        <rFont val="AcadNusx"/>
      </rPr>
      <t xml:space="preserve"> kategoria)</t>
    </r>
  </si>
  <si>
    <r>
      <t xml:space="preserve">kompiuteris rozeti </t>
    </r>
    <r>
      <rPr>
        <sz val="10"/>
        <color indexed="8"/>
        <rFont val="Arial"/>
        <family val="2"/>
        <charset val="204"/>
      </rPr>
      <t>RJ45</t>
    </r>
    <r>
      <rPr>
        <sz val="10"/>
        <color indexed="8"/>
        <rFont val="AcadNusx"/>
      </rPr>
      <t xml:space="preserve"> (me-</t>
    </r>
    <r>
      <rPr>
        <sz val="10"/>
        <color indexed="8"/>
        <rFont val="Arial"/>
        <family val="2"/>
        <charset val="204"/>
      </rPr>
      <t>5</t>
    </r>
    <r>
      <rPr>
        <sz val="10"/>
        <color indexed="8"/>
        <rFont val="AcadNusx"/>
      </rPr>
      <t xml:space="preserve"> kategoria)  iatakis samontaJo yuTis</t>
    </r>
  </si>
  <si>
    <r>
      <t xml:space="preserve">ukabelo SeRwevis wertili </t>
    </r>
    <r>
      <rPr>
        <sz val="10"/>
        <color indexed="8"/>
        <rFont val="Arial"/>
        <family val="2"/>
      </rPr>
      <t xml:space="preserve">(Wi-Fi) </t>
    </r>
    <r>
      <rPr>
        <sz val="10"/>
        <color indexed="8"/>
        <rFont val="AcadNusx"/>
      </rPr>
      <t>(parametrebi winaswar SeTanxmdes damkveTTan)</t>
    </r>
  </si>
  <si>
    <t>დამხმარე მასალები</t>
  </si>
  <si>
    <t>კომპლ</t>
  </si>
  <si>
    <t>video meTvalyureobis sistema</t>
  </si>
  <si>
    <r>
      <t xml:space="preserve">cifruli qseluri videoregistratori </t>
    </r>
    <r>
      <rPr>
        <sz val="10"/>
        <color indexed="8"/>
        <rFont val="Arial"/>
        <family val="2"/>
        <charset val="204"/>
      </rPr>
      <t>(NVR) 16</t>
    </r>
    <r>
      <rPr>
        <sz val="10"/>
        <color indexed="8"/>
        <rFont val="AcadNusx"/>
      </rPr>
      <t xml:space="preserve"> arxiani </t>
    </r>
  </si>
  <si>
    <r>
      <t xml:space="preserve">cifruli qseluri videoregistratori </t>
    </r>
    <r>
      <rPr>
        <sz val="10"/>
        <color indexed="8"/>
        <rFont val="Arial"/>
        <family val="2"/>
        <charset val="204"/>
      </rPr>
      <t>(NVR) 32</t>
    </r>
    <r>
      <rPr>
        <sz val="10"/>
        <color indexed="8"/>
        <rFont val="AcadNusx"/>
      </rPr>
      <t xml:space="preserve"> arxiani </t>
    </r>
  </si>
  <si>
    <r>
      <t xml:space="preserve">mexsierebis myari diski </t>
    </r>
    <r>
      <rPr>
        <sz val="10"/>
        <color indexed="8"/>
        <rFont val="Arial"/>
        <family val="2"/>
        <charset val="204"/>
      </rPr>
      <t>6</t>
    </r>
    <r>
      <rPr>
        <sz val="10"/>
        <color indexed="8"/>
        <rFont val="AcadNusx"/>
      </rPr>
      <t xml:space="preserve"> terabaitiani </t>
    </r>
  </si>
  <si>
    <r>
      <t>qselis komutatori</t>
    </r>
    <r>
      <rPr>
        <sz val="10"/>
        <color indexed="8"/>
        <rFont val="Arial"/>
        <family val="2"/>
        <charset val="204"/>
      </rPr>
      <t xml:space="preserve">  24  </t>
    </r>
    <r>
      <rPr>
        <sz val="10"/>
        <color indexed="8"/>
        <rFont val="AcadNusx"/>
      </rPr>
      <t xml:space="preserve">portiani </t>
    </r>
    <r>
      <rPr>
        <sz val="10"/>
        <color indexed="8"/>
        <rFont val="Arial"/>
        <family val="2"/>
        <charset val="204"/>
      </rPr>
      <t xml:space="preserve">POE  (CCTV)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</si>
  <si>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t>qselis komutatori</t>
    </r>
    <r>
      <rPr>
        <sz val="10"/>
        <color indexed="8"/>
        <rFont val="Arial"/>
        <family val="2"/>
        <charset val="204"/>
      </rPr>
      <t xml:space="preserve">  48  </t>
    </r>
    <r>
      <rPr>
        <sz val="10"/>
        <color indexed="8"/>
        <rFont val="AcadNusx"/>
      </rPr>
      <t xml:space="preserve">portiani </t>
    </r>
    <r>
      <rPr>
        <sz val="10"/>
        <color indexed="8"/>
        <rFont val="Arial"/>
        <family val="2"/>
        <charset val="204"/>
      </rPr>
      <t xml:space="preserve">POE  (CCTV)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</si>
  <si>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rPr>
        <sz val="10"/>
        <color indexed="8"/>
        <rFont val="Arial"/>
        <family val="2"/>
        <charset val="204"/>
      </rPr>
      <t>IP  POE</t>
    </r>
    <r>
      <rPr>
        <sz val="10"/>
        <color indexed="8"/>
        <rFont val="AcadNusx"/>
      </rPr>
      <t xml:space="preserve"> videokamera feradi dRe-Ramis reJimiT (minimum </t>
    </r>
    <r>
      <rPr>
        <sz val="10"/>
        <color indexed="8"/>
        <rFont val="Arial"/>
        <family val="2"/>
        <charset val="204"/>
      </rPr>
      <t>3.0</t>
    </r>
    <r>
      <rPr>
        <sz val="10"/>
        <color indexed="8"/>
        <rFont val="AcadNusx"/>
      </rPr>
      <t xml:space="preserve"> mgp) Sida montaJis</t>
    </r>
  </si>
  <si>
    <r>
      <rPr>
        <sz val="10"/>
        <color indexed="8"/>
        <rFont val="Arial"/>
        <family val="2"/>
        <charset val="204"/>
      </rPr>
      <t>IP  POE</t>
    </r>
    <r>
      <rPr>
        <sz val="10"/>
        <color indexed="8"/>
        <rFont val="AcadNusx"/>
      </rPr>
      <t xml:space="preserve"> videokamera feradi dRe-Ramis reJimiT (minimum </t>
    </r>
    <r>
      <rPr>
        <sz val="10"/>
        <color indexed="8"/>
        <rFont val="Arial"/>
        <family val="2"/>
        <charset val="204"/>
      </rPr>
      <t>3.0</t>
    </r>
    <r>
      <rPr>
        <sz val="10"/>
        <color indexed="8"/>
        <rFont val="AcadNusx"/>
      </rPr>
      <t xml:space="preserve"> mgp) gare montaJis</t>
    </r>
  </si>
  <si>
    <t>gaxmovanebis sistema</t>
  </si>
  <si>
    <r>
      <t xml:space="preserve">audio sadeni </t>
    </r>
    <r>
      <rPr>
        <sz val="10"/>
        <color indexed="8"/>
        <rFont val="Arial"/>
        <family val="2"/>
      </rPr>
      <t xml:space="preserve">3x1.5 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,</t>
    </r>
    <r>
      <rPr>
        <vertAlign val="superscript"/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LIHCH FE-180 PH120</t>
    </r>
  </si>
  <si>
    <t>cifruli marTvis bloki SemaerTebeli kabelebiT</t>
  </si>
  <si>
    <r>
      <t xml:space="preserve">zonebze gamanawilebeli cifruli miqSeri, audio gamaZlierebliT </t>
    </r>
    <r>
      <rPr>
        <sz val="10"/>
        <color indexed="8"/>
        <rFont val="Arial"/>
        <family val="2"/>
        <charset val="204"/>
      </rPr>
      <t xml:space="preserve">70/100V  min. 250 W </t>
    </r>
  </si>
  <si>
    <t xml:space="preserve">CD/MP3/SD/USB-Player, FM-Tuner </t>
  </si>
  <si>
    <r>
      <t xml:space="preserve">zonuri mikrofoni - </t>
    </r>
    <r>
      <rPr>
        <sz val="10"/>
        <color indexed="8"/>
        <rFont val="Arial"/>
        <family val="2"/>
        <charset val="204"/>
      </rPr>
      <t>6</t>
    </r>
    <r>
      <rPr>
        <sz val="10"/>
        <color indexed="8"/>
        <rFont val="AcadNusx"/>
      </rPr>
      <t xml:space="preserve"> zona</t>
    </r>
  </si>
  <si>
    <t>zonaluri xmis regulatori, xmis wyaros arCevis funqciiT</t>
  </si>
  <si>
    <r>
      <t xml:space="preserve">Weris xmamaRlamolaparake </t>
    </r>
    <r>
      <rPr>
        <sz val="10"/>
        <color indexed="8"/>
        <rFont val="Arial"/>
        <family val="2"/>
      </rPr>
      <t>1.5-3-6 watt</t>
    </r>
  </si>
  <si>
    <t xml:space="preserve">saxanZro signalizaciis sistema </t>
  </si>
  <si>
    <r>
      <t>cecxlmedegi kabeli</t>
    </r>
    <r>
      <rPr>
        <sz val="10"/>
        <color indexed="8"/>
        <rFont val="Arial"/>
        <family val="2"/>
        <charset val="204"/>
      </rPr>
      <t xml:space="preserve"> JE-H(St)H FE180/E90 - 2x2x0,8</t>
    </r>
  </si>
  <si>
    <t>samisamarTo saxanZro sakontrolo paneli orlupiani</t>
  </si>
  <si>
    <t>samisamarTo kvamlis optikuri deteqtori</t>
  </si>
  <si>
    <t>samisamarTo Tburi deteqtori</t>
  </si>
  <si>
    <t>universaluri samisamarTo baza</t>
  </si>
  <si>
    <t>samisamarTo sagangaSo xelis Rilaki</t>
  </si>
  <si>
    <t>sagangaSo Rilaki fiqsaciiT</t>
  </si>
  <si>
    <t>aramisamarTuli saxanZro sirena-strobiT</t>
  </si>
  <si>
    <r>
      <t>samisamarTo moduli</t>
    </r>
    <r>
      <rPr>
        <sz val="10"/>
        <color indexed="8"/>
        <rFont val="Arial"/>
        <family val="2"/>
        <charset val="204"/>
      </rPr>
      <t xml:space="preserve">  IOM</t>
    </r>
  </si>
  <si>
    <r>
      <t xml:space="preserve">akumulatori </t>
    </r>
    <r>
      <rPr>
        <sz val="10"/>
        <color indexed="8"/>
        <rFont val="Arial"/>
        <family val="2"/>
        <charset val="204"/>
      </rPr>
      <t xml:space="preserve">12 </t>
    </r>
    <r>
      <rPr>
        <sz val="10"/>
        <color indexed="8"/>
        <rFont val="AcadNusx"/>
      </rPr>
      <t>v/</t>
    </r>
    <r>
      <rPr>
        <sz val="10"/>
        <color indexed="8"/>
        <rFont val="Arial"/>
        <family val="2"/>
        <charset val="204"/>
      </rPr>
      <t>17</t>
    </r>
    <r>
      <rPr>
        <sz val="10"/>
        <color indexed="8"/>
        <rFont val="AcadNusx"/>
      </rPr>
      <t>a.sT</t>
    </r>
  </si>
  <si>
    <r>
      <t>samontaJo masala</t>
    </r>
    <r>
      <rPr>
        <b/>
        <sz val="10"/>
        <color indexed="8"/>
        <rFont val="AcadNusx"/>
      </rPr>
      <t xml:space="preserve"> </t>
    </r>
  </si>
  <si>
    <t xml:space="preserve">rozetis bude </t>
  </si>
  <si>
    <r>
      <t xml:space="preserve">sainst. gofr. mili </t>
    </r>
    <r>
      <rPr>
        <sz val="10"/>
        <color indexed="8"/>
        <rFont val="Arial"/>
        <family val="2"/>
        <charset val="204"/>
      </rPr>
      <t>Ø 16</t>
    </r>
    <r>
      <rPr>
        <sz val="10"/>
        <color indexed="8"/>
        <rFont val="AcadNusx"/>
      </rPr>
      <t xml:space="preserve"> mm  (aqsesuarebiT kompleqtSi)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</si>
  <si>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20</t>
    </r>
    <r>
      <rPr>
        <sz val="10"/>
        <color indexed="8"/>
        <rFont val="AcadNusx"/>
      </rPr>
      <t xml:space="preserve"> mm  (aqsesuarebiT kompleqtSi)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</si>
  <si>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25</t>
    </r>
    <r>
      <rPr>
        <sz val="10"/>
        <color indexed="8"/>
        <rFont val="AcadNusx"/>
      </rPr>
      <t xml:space="preserve"> mm  (aqsesuarebiT kompleqtSi)</t>
    </r>
  </si>
  <si>
    <r>
      <t xml:space="preserve">kibisebri rkinis sak. arxi </t>
    </r>
    <r>
      <rPr>
        <sz val="10"/>
        <color indexed="8"/>
        <rFont val="Arial"/>
        <family val="2"/>
        <charset val="204"/>
      </rPr>
      <t>200X60X2.0</t>
    </r>
    <r>
      <rPr>
        <sz val="10"/>
        <color indexed="8"/>
        <rFont val="AcadNusx"/>
      </rPr>
      <t>mm (aqsesuarebiT kompleqtSi)</t>
    </r>
  </si>
  <si>
    <r>
      <t xml:space="preserve">rkinis sak. arxi perforirebuli </t>
    </r>
    <r>
      <rPr>
        <sz val="10"/>
        <color indexed="8"/>
        <rFont val="Arial"/>
        <family val="2"/>
        <charset val="204"/>
      </rPr>
      <t>300X60X1.0</t>
    </r>
    <r>
      <rPr>
        <sz val="10"/>
        <color indexed="8"/>
        <rFont val="AcadNusx"/>
      </rPr>
      <t>m (aqsesuarebiT kompleqtSi)</t>
    </r>
  </si>
  <si>
    <r>
      <t xml:space="preserve">rkinis sak. arxi perforirebuli </t>
    </r>
    <r>
      <rPr>
        <sz val="10"/>
        <color indexed="8"/>
        <rFont val="Arial"/>
        <family val="2"/>
        <charset val="204"/>
      </rPr>
      <t>200X60X1.0</t>
    </r>
    <r>
      <rPr>
        <sz val="10"/>
        <color indexed="8"/>
        <rFont val="AcadNusx"/>
      </rPr>
      <t>m (aqsesuarebiT kompleqtSi)</t>
    </r>
  </si>
  <si>
    <r>
      <t xml:space="preserve">rkinis sak. arxi perforirebuli </t>
    </r>
    <r>
      <rPr>
        <sz val="10"/>
        <color indexed="8"/>
        <rFont val="Arial"/>
        <family val="2"/>
        <charset val="204"/>
      </rPr>
      <t>100X60X1.0</t>
    </r>
    <r>
      <rPr>
        <sz val="10"/>
        <color indexed="8"/>
        <rFont val="AcadNusx"/>
      </rPr>
      <t>m (aqsesuarebiT kompleqtSi)</t>
    </r>
  </si>
  <si>
    <r>
      <t xml:space="preserve">kabelis liToni samagri, (Sekvra </t>
    </r>
    <r>
      <rPr>
        <sz val="10"/>
        <color indexed="8"/>
        <rFont val="Arial"/>
        <family val="2"/>
        <charset val="204"/>
      </rPr>
      <t>100</t>
    </r>
    <r>
      <rPr>
        <sz val="10"/>
        <color indexed="8"/>
        <rFont val="AcadNusx"/>
      </rPr>
      <t xml:space="preserve"> cali)</t>
    </r>
  </si>
  <si>
    <r>
      <t xml:space="preserve">samontaJo masalebi (izolaciis lenti, samagrebi, Sesakravi)  (Sekvra </t>
    </r>
    <r>
      <rPr>
        <sz val="10"/>
        <color indexed="8"/>
        <rFont val="Arial"/>
        <family val="2"/>
        <charset val="204"/>
      </rPr>
      <t>100</t>
    </r>
    <r>
      <rPr>
        <sz val="10"/>
        <color indexed="8"/>
        <rFont val="AcadNusx"/>
      </rPr>
      <t xml:space="preserve"> cali)</t>
    </r>
  </si>
  <si>
    <t xml:space="preserve">ჯამი
</t>
  </si>
  <si>
    <t>ზედნადები ხარჯი:</t>
  </si>
  <si>
    <t>მოგება:</t>
  </si>
  <si>
    <t>გაუთვალისწინებელი ხარჯი</t>
  </si>
  <si>
    <t>ჯამი - სასტუმრო ელექტრობა</t>
  </si>
  <si>
    <t>განფასება არ ითვალისწინებს კომპიუტერული ქსელის აქტიურ მოწყობილობებს, გახმოვანებისა და  ვიდეომეთლვაყუროების სისტემების კომპონენტებს</t>
  </si>
  <si>
    <t>(saerTo eleqtrobis masalaTa specifikacia)</t>
  </si>
  <si>
    <t xml:space="preserve">Zalovani danadgarebi </t>
  </si>
  <si>
    <t xml:space="preserve">kabelebi </t>
  </si>
  <si>
    <r>
      <t xml:space="preserve">kabeli (mrgvali) </t>
    </r>
    <r>
      <rPr>
        <sz val="10"/>
        <rFont val="Arial"/>
        <family val="2"/>
        <charset val="204"/>
      </rPr>
      <t>NA2XH-J 3x240+1x120</t>
    </r>
    <r>
      <rPr>
        <sz val="10"/>
        <rFont val="AcadNusx"/>
      </rPr>
      <t>mm</t>
    </r>
    <r>
      <rPr>
        <vertAlign val="superscript"/>
        <sz val="10"/>
        <rFont val="AcadNusx"/>
      </rPr>
      <t xml:space="preserve">2   </t>
    </r>
    <r>
      <rPr>
        <sz val="10"/>
        <rFont val="AcadNusx"/>
      </rPr>
      <t>(kabelis sigrZe dazustdes adgilze)</t>
    </r>
  </si>
  <si>
    <r>
      <t xml:space="preserve">kabeli (mrgvali) </t>
    </r>
    <r>
      <rPr>
        <sz val="10"/>
        <rFont val="Arial"/>
        <family val="2"/>
        <charset val="204"/>
      </rPr>
      <t>N2XH-J 5x25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</si>
  <si>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5x10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</si>
  <si>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5x6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</si>
  <si>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5x4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</si>
  <si>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5x2.5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</si>
  <si>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5x1.5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</si>
  <si>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 4x95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</si>
  <si>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t>kabeli halogenTavisufali aluminis 4X150 mm2</t>
  </si>
  <si>
    <r>
      <t xml:space="preserve">kabeli (mrgvali) </t>
    </r>
    <r>
      <rPr>
        <sz val="10"/>
        <rFont val="Arial"/>
        <family val="2"/>
        <charset val="204"/>
      </rPr>
      <t>N2XH-J  4x70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</si>
  <si>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t>kabeli halogenTavisufali aluminis 4X120 mm2</t>
  </si>
  <si>
    <r>
      <t xml:space="preserve">kabeli (mrgvali) </t>
    </r>
    <r>
      <rPr>
        <sz val="10"/>
        <rFont val="Arial"/>
        <family val="2"/>
        <charset val="204"/>
      </rPr>
      <t>N2XH-J  4x50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</si>
  <si>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3x6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</si>
  <si>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3x4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</si>
  <si>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NHXMH-J 3x2.5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</si>
  <si>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NHXMH-J 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</si>
  <si>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NHXMH-J 2x1.5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</si>
  <si>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1x50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</si>
  <si>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1x35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</si>
  <si>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1x25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</si>
  <si>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5x25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</si>
  <si>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5x16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</si>
  <si>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5x10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</si>
  <si>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</si>
  <si>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5x4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</si>
  <si>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</si>
  <si>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5x1.5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</si>
  <si>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3x2.5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</si>
  <si>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</si>
  <si>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2x1.5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</si>
  <si>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>mTavari gamanawilebeli fari</t>
    </r>
    <r>
      <rPr>
        <b/>
        <sz val="10"/>
        <color indexed="8"/>
        <rFont val="Arial"/>
        <family val="2"/>
        <charset val="204"/>
      </rPr>
      <t xml:space="preserve">  MDB </t>
    </r>
  </si>
  <si>
    <r>
      <rPr>
        <sz val="10"/>
        <rFont val="AcadNusx"/>
      </rPr>
      <t xml:space="preserve">Zalovani fari g/m </t>
    </r>
    <r>
      <rPr>
        <sz val="10"/>
        <rFont val="Arial"/>
        <family val="2"/>
        <charset val="204"/>
      </rPr>
      <t>2000X800X400 IP 21</t>
    </r>
  </si>
  <si>
    <r>
      <t xml:space="preserve">samfaza salteebis sistema </t>
    </r>
    <r>
      <rPr>
        <sz val="10"/>
        <rFont val="Arial"/>
        <family val="2"/>
        <charset val="204"/>
      </rPr>
      <t>L1, L2, L3, 1600</t>
    </r>
    <r>
      <rPr>
        <sz val="10"/>
        <rFont val="AcadNusx"/>
      </rPr>
      <t xml:space="preserve"> a</t>
    </r>
  </si>
  <si>
    <r>
      <t xml:space="preserve">damiweba neitralis salteebis sistema </t>
    </r>
    <r>
      <rPr>
        <sz val="10"/>
        <rFont val="Arial"/>
        <family val="2"/>
        <charset val="204"/>
      </rPr>
      <t>1000</t>
    </r>
    <r>
      <rPr>
        <sz val="10"/>
        <rFont val="AcadNusx"/>
      </rPr>
      <t xml:space="preserve"> a</t>
    </r>
  </si>
  <si>
    <r>
      <t>avtomaturi amomrTveli</t>
    </r>
    <r>
      <rPr>
        <sz val="10"/>
        <rFont val="Arial"/>
        <family val="2"/>
        <charset val="204"/>
      </rPr>
      <t xml:space="preserve">  MCCB 1600A/D/36kA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</si>
  <si>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250A/D/36kA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</si>
  <si>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200A/D/36kA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</si>
  <si>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160A/D/25kA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</si>
  <si>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100A/D/25kA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</si>
  <si>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63A/D/25kA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</si>
  <si>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50A/D/25kA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</si>
  <si>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40A/D/25kA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</si>
  <si>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32A/D/25kA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</si>
  <si>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25A/D/25kA  3 </t>
    </r>
    <r>
      <rPr>
        <sz val="10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</si>
  <si>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2A/B/6kA  1 </t>
    </r>
    <r>
      <rPr>
        <sz val="10"/>
        <color indexed="8"/>
        <rFont val="AcadNusx"/>
      </rPr>
      <t>polusa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</si>
  <si>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0.63-1.6 A  3 </t>
    </r>
    <r>
      <rPr>
        <sz val="10"/>
        <color indexed="8"/>
        <rFont val="AcadNusx"/>
      </rPr>
      <t>polusa</t>
    </r>
  </si>
  <si>
    <r>
      <t xml:space="preserve">kontaqtori </t>
    </r>
    <r>
      <rPr>
        <sz val="10"/>
        <color indexed="8"/>
        <rFont val="Arial"/>
        <family val="2"/>
        <charset val="204"/>
      </rPr>
      <t>3P/ 3.0 kW/230VAC</t>
    </r>
  </si>
  <si>
    <r>
      <t xml:space="preserve">CamrTveli Rilaki fiqsaciiT </t>
    </r>
    <r>
      <rPr>
        <sz val="10"/>
        <color indexed="8"/>
        <rFont val="Arial"/>
        <family val="2"/>
      </rPr>
      <t>Aut-O-Man   DIN</t>
    </r>
    <r>
      <rPr>
        <sz val="10"/>
        <color indexed="8"/>
        <rFont val="AcadNusx"/>
      </rPr>
      <t xml:space="preserve"> salteze dasasmeli</t>
    </r>
  </si>
  <si>
    <r>
      <t>saindikacio naTura</t>
    </r>
    <r>
      <rPr>
        <sz val="10"/>
        <color indexed="8"/>
        <rFont val="Arial"/>
        <family val="2"/>
        <charset val="204"/>
      </rPr>
      <t xml:space="preserve"> 220</t>
    </r>
    <r>
      <rPr>
        <sz val="10"/>
        <color indexed="8"/>
        <rFont val="AcadNusx"/>
      </rPr>
      <t>v (mwvane)</t>
    </r>
  </si>
  <si>
    <r>
      <t>dnobadmcveliani amomrTveli</t>
    </r>
    <r>
      <rPr>
        <sz val="10"/>
        <rFont val="Arial"/>
        <family val="2"/>
        <charset val="204"/>
      </rPr>
      <t xml:space="preserve"> 160</t>
    </r>
    <r>
      <rPr>
        <sz val="10"/>
        <rFont val="AcadNusx"/>
      </rPr>
      <t>a 3 polusa</t>
    </r>
  </si>
  <si>
    <r>
      <t xml:space="preserve">dnobadi mcveli </t>
    </r>
    <r>
      <rPr>
        <sz val="10"/>
        <rFont val="Arial"/>
        <family val="2"/>
        <charset val="204"/>
      </rPr>
      <t>160</t>
    </r>
    <r>
      <rPr>
        <sz val="10"/>
        <rFont val="AcadNusx"/>
      </rPr>
      <t xml:space="preserve">a </t>
    </r>
  </si>
  <si>
    <t>sasignalo naTura (yviTeli, mwvane, wiTeli) (faris karSi CasamontaJebeli)</t>
  </si>
  <si>
    <t>ც</t>
  </si>
  <si>
    <r>
      <t xml:space="preserve">ganmuxtveli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 klasis </t>
    </r>
    <r>
      <rPr>
        <sz val="10"/>
        <rFont val="Arial"/>
        <family val="2"/>
        <charset val="204"/>
      </rPr>
      <t>3P+N+PE 400v/100ka</t>
    </r>
  </si>
  <si>
    <t>ფარის მაკომპლექტებლები</t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</si>
  <si>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0.1</t>
    </r>
  </si>
  <si>
    <r>
      <rPr>
        <sz val="10"/>
        <color indexed="8"/>
        <rFont val="AcadNusx"/>
      </rPr>
      <t xml:space="preserve">Zalovani fari g/m </t>
    </r>
    <r>
      <rPr>
        <sz val="10"/>
        <color indexed="8"/>
        <rFont val="Arial"/>
        <family val="2"/>
        <charset val="204"/>
      </rPr>
      <t>1500X600X400 IP 21</t>
    </r>
  </si>
  <si>
    <r>
      <t>saindikacio naTura</t>
    </r>
    <r>
      <rPr>
        <sz val="10"/>
        <color indexed="8"/>
        <rFont val="Arial"/>
        <family val="2"/>
        <charset val="204"/>
      </rPr>
      <t xml:space="preserve"> 220</t>
    </r>
    <r>
      <rPr>
        <sz val="10"/>
        <color indexed="8"/>
        <rFont val="AcadNusx"/>
      </rPr>
      <t>v (wiTeli)</t>
    </r>
  </si>
  <si>
    <r>
      <rPr>
        <sz val="10"/>
        <color indexed="8"/>
        <rFont val="AcadNusx"/>
      </rPr>
      <t>kontaqtori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1NO/5kW/AC220 , 1NO+1NC </t>
    </r>
    <r>
      <rPr>
        <sz val="10"/>
        <color indexed="8"/>
        <rFont val="AcadNusx"/>
      </rPr>
      <t>damxmare kontaqtiT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</si>
  <si>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2.5-4.0 A  3 </t>
    </r>
    <r>
      <rPr>
        <sz val="10"/>
        <color indexed="8"/>
        <rFont val="AcadNusx"/>
      </rPr>
      <t>polusa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</si>
  <si>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4.0-6.3 A  3 </t>
    </r>
    <r>
      <rPr>
        <sz val="10"/>
        <color indexed="8"/>
        <rFont val="AcadNusx"/>
      </rPr>
      <t>polusa</t>
    </r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</si>
  <si>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16/0.03A/C/6kA  1</t>
    </r>
    <r>
      <rPr>
        <sz val="10"/>
        <color indexed="8"/>
        <rFont val="AcadNusx"/>
      </rPr>
      <t xml:space="preserve"> polusa</t>
    </r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</si>
  <si>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25/0.03A/C/6kA  1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</si>
  <si>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6A/B/6kA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</si>
  <si>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10A/B/6kA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</si>
  <si>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16A/C/6kA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</si>
  <si>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6A/D/6kA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</si>
  <si>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10A/D/6kA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</si>
  <si>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16A/D/6kA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</si>
  <si>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</si>
  <si>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32A/D/6kA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</si>
  <si>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250A/D/6kA  3 </t>
    </r>
    <r>
      <rPr>
        <sz val="10"/>
        <color indexed="8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</si>
  <si>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0.2</t>
    </r>
  </si>
  <si>
    <r>
      <t xml:space="preserve">karada g/m </t>
    </r>
    <r>
      <rPr>
        <sz val="10"/>
        <color indexed="8"/>
        <rFont val="Arial"/>
        <family val="2"/>
        <charset val="204"/>
      </rPr>
      <t>3X18</t>
    </r>
    <r>
      <rPr>
        <sz val="10"/>
        <color indexed="8"/>
        <rFont val="AcadNusx"/>
      </rPr>
      <t xml:space="preserve"> modulze (rkinis karebiT da saketiT)</t>
    </r>
  </si>
  <si>
    <r>
      <t>erTwvera kabeli (Savi)</t>
    </r>
    <r>
      <rPr>
        <sz val="10"/>
        <color indexed="8"/>
        <rFont val="Arial"/>
        <family val="2"/>
        <charset val="204"/>
      </rPr>
      <t xml:space="preserve"> 6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</si>
  <si>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dasaparalilebeli salte</t>
    </r>
    <r>
      <rPr>
        <sz val="10"/>
        <color indexed="8"/>
        <rFont val="Arial"/>
        <family val="2"/>
        <charset val="204"/>
      </rPr>
      <t xml:space="preserve"> 3 </t>
    </r>
    <r>
      <rPr>
        <sz val="10"/>
        <color indexed="8"/>
        <rFont val="AcadNusx"/>
      </rPr>
      <t xml:space="preserve">polusa </t>
    </r>
    <r>
      <rPr>
        <sz val="10"/>
        <color indexed="8"/>
        <rFont val="Arial"/>
        <family val="2"/>
        <charset val="204"/>
      </rPr>
      <t>3/63</t>
    </r>
    <r>
      <rPr>
        <sz val="10"/>
        <color indexed="8"/>
        <rFont val="AcadNusx"/>
      </rPr>
      <t>a</t>
    </r>
  </si>
  <si>
    <t>kb.</t>
  </si>
  <si>
    <r>
      <t>avtomaturi amomrTveli</t>
    </r>
    <r>
      <rPr>
        <sz val="10"/>
        <color indexed="8"/>
        <rFont val="Arial"/>
        <family val="2"/>
        <charset val="204"/>
      </rPr>
      <t xml:space="preserve">  MCCB 40A/D/15kA  3 </t>
    </r>
    <r>
      <rPr>
        <sz val="10"/>
        <color indexed="8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</si>
  <si>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0.3</t>
    </r>
  </si>
  <si>
    <r>
      <t xml:space="preserve">karada S/m </t>
    </r>
    <r>
      <rPr>
        <sz val="10"/>
        <color indexed="8"/>
        <rFont val="Arial"/>
        <family val="2"/>
        <charset val="204"/>
      </rPr>
      <t>3X12</t>
    </r>
    <r>
      <rPr>
        <sz val="10"/>
        <color indexed="8"/>
        <rFont val="AcadNusx"/>
      </rPr>
      <t xml:space="preserve"> modulze (rkinis karebiT da saketiT)</t>
    </r>
  </si>
  <si>
    <r>
      <t>erTwvera kabeli (Savi)</t>
    </r>
    <r>
      <rPr>
        <sz val="10"/>
        <color indexed="8"/>
        <rFont val="Arial"/>
        <family val="2"/>
        <charset val="204"/>
      </rPr>
      <t xml:space="preserve"> 4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</si>
  <si>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0.63-1.6 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</si>
  <si>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32A/D/15kA  3 </t>
    </r>
    <r>
      <rPr>
        <sz val="10"/>
        <color indexed="8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</si>
  <si>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1.1</t>
    </r>
  </si>
  <si>
    <r>
      <rPr>
        <sz val="10"/>
        <color indexed="8"/>
        <rFont val="AcadNusx"/>
      </rPr>
      <t xml:space="preserve">Zalovani fari g/m </t>
    </r>
    <r>
      <rPr>
        <sz val="10"/>
        <color indexed="8"/>
        <rFont val="Arial"/>
        <family val="2"/>
        <charset val="204"/>
      </rPr>
      <t>1200X600X400 IP 21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</si>
  <si>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1.6-2.5 A  3 </t>
    </r>
    <r>
      <rPr>
        <sz val="10"/>
        <color indexed="8"/>
        <rFont val="AcadNusx"/>
      </rPr>
      <t>polusa</t>
    </r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</si>
  <si>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32/0.03A/C/6kA  1</t>
    </r>
    <r>
      <rPr>
        <sz val="10"/>
        <color indexed="8"/>
        <rFont val="AcadNusx"/>
      </rPr>
      <t xml:space="preserve"> polusa</t>
    </r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</si>
  <si>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40/0.03A/C/6kA  1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</si>
  <si>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200A/D/6kA  3 </t>
    </r>
    <r>
      <rPr>
        <sz val="10"/>
        <color indexed="8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</si>
  <si>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1.2</t>
    </r>
  </si>
  <si>
    <r>
      <t xml:space="preserve">karada S/m </t>
    </r>
    <r>
      <rPr>
        <sz val="10"/>
        <color indexed="8"/>
        <rFont val="Arial"/>
        <family val="2"/>
        <charset val="204"/>
      </rPr>
      <t>4X12</t>
    </r>
    <r>
      <rPr>
        <sz val="10"/>
        <color indexed="8"/>
        <rFont val="AcadNusx"/>
      </rPr>
      <t xml:space="preserve"> modulze (rkinis karebiT da saketiT)</t>
    </r>
  </si>
  <si>
    <r>
      <t>saindikacio naTura</t>
    </r>
    <r>
      <rPr>
        <sz val="10"/>
        <rFont val="Arial"/>
        <family val="2"/>
        <charset val="204"/>
      </rPr>
      <t xml:space="preserve"> 220</t>
    </r>
    <r>
      <rPr>
        <sz val="10"/>
        <rFont val="AcadNusx"/>
      </rPr>
      <t>v (mwvane)</t>
    </r>
  </si>
  <si>
    <r>
      <t xml:space="preserve">CamrTveli Rilaki fiqsaciiT </t>
    </r>
    <r>
      <rPr>
        <sz val="10"/>
        <rFont val="Arial"/>
        <family val="2"/>
      </rPr>
      <t>Aut-O-Man   DIN</t>
    </r>
    <r>
      <rPr>
        <sz val="10"/>
        <rFont val="AcadNusx"/>
      </rPr>
      <t xml:space="preserve"> salteze dasasmeli</t>
    </r>
  </si>
  <si>
    <r>
      <rPr>
        <sz val="10"/>
        <rFont val="AcadNusx"/>
      </rPr>
      <t>kontaqtori</t>
    </r>
    <r>
      <rPr>
        <sz val="10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 xml:space="preserve">1NO/5kW/AC220 , 1NO+1NC </t>
    </r>
    <r>
      <rPr>
        <sz val="10"/>
        <rFont val="AcadNusx"/>
      </rPr>
      <t>damxmare kontaqtiT</t>
    </r>
  </si>
  <si>
    <r>
      <t xml:space="preserve">dif. gaJonvis rele avtomaturi amomrTvelis funqciiT </t>
    </r>
    <r>
      <rPr>
        <sz val="10"/>
        <rFont val="Arial"/>
        <family val="2"/>
        <charset val="204"/>
      </rPr>
      <t>RCCB 16/0.03A/C/6kA  1</t>
    </r>
    <r>
      <rPr>
        <sz val="10"/>
        <rFont val="AcadNusx"/>
      </rPr>
      <t xml:space="preserve"> polusa</t>
    </r>
  </si>
  <si>
    <r>
      <t xml:space="preserve">dif. gaJonvis rele avtomaturi amomrTvelis funqciiT </t>
    </r>
    <r>
      <rPr>
        <sz val="10"/>
        <rFont val="Arial"/>
        <family val="2"/>
        <charset val="204"/>
      </rPr>
      <t>RCCB 32/0.03A/C/6kA  1</t>
    </r>
    <r>
      <rPr>
        <sz val="10"/>
        <rFont val="AcadNusx"/>
      </rPr>
      <t xml:space="preserve"> polusa</t>
    </r>
  </si>
  <si>
    <r>
      <t xml:space="preserve">dif. gaJonvis rele avtomaturi amomrTvelis funqciiT </t>
    </r>
    <r>
      <rPr>
        <sz val="10"/>
        <rFont val="Arial"/>
        <family val="2"/>
        <charset val="204"/>
      </rPr>
      <t>RCCB 40/0.03A/C/6kA  1</t>
    </r>
    <r>
      <rPr>
        <sz val="10"/>
        <rFont val="AcadNusx"/>
      </rPr>
      <t xml:space="preserve"> polusa</t>
    </r>
  </si>
  <si>
    <r>
      <t>avtomaturi amomrTveli</t>
    </r>
    <r>
      <rPr>
        <sz val="10"/>
        <rFont val="Arial"/>
        <family val="2"/>
        <charset val="204"/>
      </rPr>
      <t xml:space="preserve">  MCB 2A/B/6kA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</si>
  <si>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6A/B/6kA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</si>
  <si>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10A/B/6kA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</si>
  <si>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16A/C/6kA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</si>
  <si>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25A/C/6kA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</si>
  <si>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16A/D/6kA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</si>
  <si>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MCCB 63A/D/15kA  3 </t>
    </r>
    <r>
      <rPr>
        <sz val="10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</si>
  <si>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2.1</t>
    </r>
  </si>
  <si>
    <r>
      <t>karada S/m</t>
    </r>
    <r>
      <rPr>
        <sz val="10"/>
        <rFont val="Arial"/>
        <family val="2"/>
        <charset val="204"/>
      </rPr>
      <t xml:space="preserve"> 3X18</t>
    </r>
    <r>
      <rPr>
        <sz val="10"/>
        <rFont val="AcadNusx"/>
      </rPr>
      <t xml:space="preserve"> modulze (rkinis karebiT da saketiT)</t>
    </r>
  </si>
  <si>
    <r>
      <t>erTwvera kabeli (Savi)</t>
    </r>
    <r>
      <rPr>
        <sz val="10"/>
        <rFont val="Arial"/>
        <family val="2"/>
        <charset val="204"/>
      </rPr>
      <t xml:space="preserve"> 6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</si>
  <si>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>dasaparalilebeli salte</t>
    </r>
    <r>
      <rPr>
        <sz val="10"/>
        <rFont val="Arial"/>
        <family val="2"/>
        <charset val="204"/>
      </rPr>
      <t xml:space="preserve"> 3 </t>
    </r>
    <r>
      <rPr>
        <sz val="10"/>
        <rFont val="AcadNusx"/>
      </rPr>
      <t xml:space="preserve">polusa </t>
    </r>
    <r>
      <rPr>
        <sz val="10"/>
        <rFont val="Arial"/>
        <family val="2"/>
        <charset val="204"/>
      </rPr>
      <t>3/63</t>
    </r>
    <r>
      <rPr>
        <sz val="10"/>
        <rFont val="AcadNusx"/>
      </rPr>
      <t>a</t>
    </r>
  </si>
  <si>
    <r>
      <t>avtomaturi amomrTveli</t>
    </r>
    <r>
      <rPr>
        <sz val="10"/>
        <rFont val="Arial"/>
        <family val="2"/>
        <charset val="204"/>
      </rPr>
      <t xml:space="preserve">  MCCB 160A/D/15kA  3 </t>
    </r>
    <r>
      <rPr>
        <sz val="10"/>
        <rFont val="AcadNusx"/>
      </rPr>
      <t>polusa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</si>
  <si>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3.1</t>
    </r>
  </si>
  <si>
    <r>
      <t xml:space="preserve">karada S/m </t>
    </r>
    <r>
      <rPr>
        <sz val="10"/>
        <rFont val="Arial"/>
        <family val="2"/>
        <charset val="204"/>
      </rPr>
      <t>3X18</t>
    </r>
    <r>
      <rPr>
        <sz val="10"/>
        <rFont val="AcadNusx"/>
      </rPr>
      <t xml:space="preserve"> modulze (rkinis karebiT da saketiT)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</si>
  <si>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4.1</t>
    </r>
  </si>
  <si>
    <r>
      <t>karada g/m</t>
    </r>
    <r>
      <rPr>
        <sz val="10"/>
        <color indexed="8"/>
        <rFont val="Arial"/>
        <family val="2"/>
        <charset val="204"/>
      </rPr>
      <t xml:space="preserve"> 4X18 </t>
    </r>
    <r>
      <rPr>
        <sz val="10"/>
        <color indexed="8"/>
        <rFont val="AcadNusx"/>
      </rPr>
      <t xml:space="preserve">modulze </t>
    </r>
    <r>
      <rPr>
        <sz val="10"/>
        <color indexed="8"/>
        <rFont val="Arial"/>
        <family val="2"/>
        <charset val="204"/>
      </rPr>
      <t>800x600x250</t>
    </r>
  </si>
  <si>
    <r>
      <t xml:space="preserve">CamrTveli Rilaki fiqsaciiT </t>
    </r>
    <r>
      <rPr>
        <sz val="10"/>
        <color indexed="8"/>
        <rFont val="Arial"/>
        <family val="2"/>
      </rPr>
      <t>Aut-O-Man</t>
    </r>
  </si>
  <si>
    <r>
      <t xml:space="preserve">kontaqtori </t>
    </r>
    <r>
      <rPr>
        <sz val="10"/>
        <color indexed="8"/>
        <rFont val="Arial"/>
        <family val="2"/>
        <charset val="204"/>
      </rPr>
      <t>3P/ 5.5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</si>
  <si>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4.0 kW/230VAC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</si>
  <si>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0.4-0.63 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</si>
  <si>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25A/C/6kA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</si>
  <si>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50A/D/15kA  3 </t>
    </r>
    <r>
      <rPr>
        <sz val="10"/>
        <color indexed="8"/>
        <rFont val="AcadNusx"/>
      </rPr>
      <t>polusa</t>
    </r>
  </si>
  <si>
    <t>xelis sagangaSo Rilaki normalurad Ria kontaqtiT</t>
  </si>
  <si>
    <r>
      <t xml:space="preserve">kontroleri </t>
    </r>
    <r>
      <rPr>
        <sz val="10"/>
        <color indexed="8"/>
        <rFont val="Arial"/>
        <family val="2"/>
        <charset val="204"/>
      </rPr>
      <t>8</t>
    </r>
    <r>
      <rPr>
        <sz val="10"/>
        <color indexed="8"/>
        <rFont val="AcadNusx"/>
      </rPr>
      <t xml:space="preserve"> cifruli SesasvleliT da </t>
    </r>
    <r>
      <rPr>
        <sz val="10"/>
        <color indexed="8"/>
        <rFont val="Arial"/>
        <family val="2"/>
        <charset val="204"/>
      </rPr>
      <t>24</t>
    </r>
    <r>
      <rPr>
        <sz val="10"/>
        <color indexed="8"/>
        <rFont val="AcadNusx"/>
      </rPr>
      <t xml:space="preserve"> cifruli gamomsvleliT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</si>
  <si>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4.2</t>
    </r>
  </si>
  <si>
    <r>
      <t>karada g/m</t>
    </r>
    <r>
      <rPr>
        <sz val="10"/>
        <color indexed="8"/>
        <rFont val="Arial"/>
        <family val="2"/>
        <charset val="204"/>
      </rPr>
      <t xml:space="preserve"> 3X18 </t>
    </r>
    <r>
      <rPr>
        <sz val="10"/>
        <color indexed="8"/>
        <rFont val="AcadNusx"/>
      </rPr>
      <t xml:space="preserve">modulze </t>
    </r>
    <r>
      <rPr>
        <sz val="10"/>
        <color indexed="8"/>
        <rFont val="Arial"/>
        <family val="2"/>
        <charset val="204"/>
      </rPr>
      <t>600x400x250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</si>
  <si>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32A/D/15kA  3 </t>
    </r>
    <r>
      <rPr>
        <sz val="10"/>
        <color indexed="8"/>
        <rFont val="AcadNusx"/>
      </rPr>
      <t>polusa</t>
    </r>
  </si>
  <si>
    <r>
      <t xml:space="preserve">kontroleri </t>
    </r>
    <r>
      <rPr>
        <sz val="10"/>
        <color indexed="8"/>
        <rFont val="Arial"/>
        <family val="2"/>
        <charset val="204"/>
      </rPr>
      <t>8</t>
    </r>
    <r>
      <rPr>
        <sz val="10"/>
        <color indexed="8"/>
        <rFont val="AcadNusx"/>
      </rPr>
      <t xml:space="preserve"> cifruli SesasvleliT da </t>
    </r>
    <r>
      <rPr>
        <sz val="10"/>
        <color indexed="8"/>
        <rFont val="Arial"/>
        <family val="2"/>
        <charset val="204"/>
      </rPr>
      <t>16</t>
    </r>
    <r>
      <rPr>
        <sz val="10"/>
        <color indexed="8"/>
        <rFont val="AcadNusx"/>
      </rPr>
      <t xml:space="preserve"> cifruli gamomsvleliT</t>
    </r>
  </si>
  <si>
    <r>
      <t>gamanawilebeli fari</t>
    </r>
    <r>
      <rPr>
        <b/>
        <sz val="10"/>
        <color indexed="8"/>
        <rFont val="Arial"/>
        <family val="2"/>
        <charset val="204"/>
      </rPr>
      <t xml:space="preserve">  DB 4.3</t>
    </r>
  </si>
  <si>
    <r>
      <t xml:space="preserve">karada g/m </t>
    </r>
    <r>
      <rPr>
        <sz val="10"/>
        <color indexed="8"/>
        <rFont val="Arial"/>
        <family val="2"/>
        <charset val="204"/>
      </rPr>
      <t>2X12</t>
    </r>
    <r>
      <rPr>
        <sz val="10"/>
        <color indexed="8"/>
        <rFont val="AcadNusx"/>
      </rPr>
      <t xml:space="preserve"> modulze (rkinis karebiT da saketiT)</t>
    </r>
  </si>
  <si>
    <r>
      <t xml:space="preserve">sastumros nomris tipiuri gamanawilebeli fari </t>
    </r>
    <r>
      <rPr>
        <b/>
        <sz val="10"/>
        <color indexed="8"/>
        <rFont val="Arial"/>
        <family val="2"/>
      </rPr>
      <t>DBP</t>
    </r>
  </si>
  <si>
    <r>
      <t xml:space="preserve">karada S/m </t>
    </r>
    <r>
      <rPr>
        <sz val="10"/>
        <color indexed="8"/>
        <rFont val="Arial"/>
        <family val="2"/>
        <charset val="204"/>
      </rPr>
      <t>2X8</t>
    </r>
    <r>
      <rPr>
        <sz val="10"/>
        <color indexed="8"/>
        <rFont val="AcadNusx"/>
      </rPr>
      <t xml:space="preserve"> modulze</t>
    </r>
  </si>
  <si>
    <t>komp</t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</si>
  <si>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32/0.03A/C/6kA  2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</si>
  <si>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25A/C/6kA  2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</si>
  <si>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10A/C/6kA  1 </t>
    </r>
    <r>
      <rPr>
        <sz val="10"/>
        <color indexed="8"/>
        <rFont val="AcadNusx"/>
      </rPr>
      <t>polusa</t>
    </r>
  </si>
  <si>
    <r>
      <t xml:space="preserve">kontaqtori </t>
    </r>
    <r>
      <rPr>
        <sz val="10"/>
        <color indexed="8"/>
        <rFont val="Arial"/>
        <family val="2"/>
        <charset val="204"/>
      </rPr>
      <t xml:space="preserve">4P/ 25A /230VAC </t>
    </r>
    <r>
      <rPr>
        <sz val="10"/>
        <color indexed="8"/>
        <rFont val="AcadNusx"/>
      </rPr>
      <t>Ria kontaqtiT</t>
    </r>
  </si>
  <si>
    <t xml:space="preserve">sanaTebi </t>
  </si>
  <si>
    <r>
      <rPr>
        <sz val="10"/>
        <color indexed="8"/>
        <rFont val="Arial"/>
        <family val="2"/>
        <charset val="204"/>
      </rPr>
      <t>L1</t>
    </r>
    <r>
      <rPr>
        <sz val="10"/>
        <color indexed="8"/>
        <rFont val="AcadNusx"/>
      </rPr>
      <t>Lzedapiruli montaJis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45 W  </t>
    </r>
    <r>
      <rPr>
        <sz val="10"/>
        <color indexed="8"/>
        <rFont val="AcadNusx"/>
      </rPr>
      <t>(samzareulo, teq. oTaxi)</t>
    </r>
  </si>
  <si>
    <r>
      <rPr>
        <sz val="10"/>
        <color indexed="8"/>
        <rFont val="Arial"/>
        <family val="2"/>
        <charset val="204"/>
      </rPr>
      <t>L2</t>
    </r>
    <r>
      <rPr>
        <sz val="10"/>
        <color indexed="8"/>
        <rFont val="AcadNusx"/>
      </rPr>
      <t>Lzedapiruli montaJis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20 W  </t>
    </r>
    <r>
      <rPr>
        <sz val="10"/>
        <color indexed="8"/>
        <rFont val="AcadNusx"/>
      </rPr>
      <t>(sasadilo, aivani, teq. oTaxi)</t>
    </r>
  </si>
  <si>
    <r>
      <rPr>
        <sz val="10"/>
        <color indexed="8"/>
        <rFont val="Arial"/>
        <family val="2"/>
        <charset val="204"/>
      </rPr>
      <t>L3</t>
    </r>
    <r>
      <rPr>
        <sz val="10"/>
        <color indexed="8"/>
        <rFont val="AcadNusx"/>
      </rPr>
      <t>Lzedapiruli montaJis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20 W  </t>
    </r>
    <r>
      <rPr>
        <sz val="10"/>
        <color indexed="8"/>
        <rFont val="AcadNusx"/>
      </rPr>
      <t>akumulatoriT (sasadilo, aivani, teq. oTaxi)</t>
    </r>
  </si>
  <si>
    <r>
      <rPr>
        <sz val="10"/>
        <color indexed="8"/>
        <rFont val="Arial"/>
        <family val="2"/>
        <charset val="204"/>
      </rPr>
      <t>L4</t>
    </r>
    <r>
      <rPr>
        <sz val="10"/>
        <color indexed="8"/>
        <rFont val="AcadNusx"/>
      </rPr>
      <t>LWeris Cafluli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12 W </t>
    </r>
    <r>
      <rPr>
        <sz val="10"/>
        <color indexed="8"/>
        <rFont val="AcadNusx"/>
      </rPr>
      <t xml:space="preserve"> (derefani, kibis ujredi)</t>
    </r>
  </si>
  <si>
    <r>
      <rPr>
        <sz val="10"/>
        <color indexed="8"/>
        <rFont val="Arial"/>
        <family val="2"/>
        <charset val="204"/>
      </rPr>
      <t>L5</t>
    </r>
    <r>
      <rPr>
        <sz val="10"/>
        <color indexed="8"/>
        <rFont val="AcadNusx"/>
      </rPr>
      <t>LWeris Cafluli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12 W  </t>
    </r>
    <r>
      <rPr>
        <sz val="10"/>
        <color indexed="8"/>
        <rFont val="AcadNusx"/>
      </rPr>
      <t>akumulatoriT (derefani, kibis ujredi)</t>
    </r>
  </si>
  <si>
    <r>
      <rPr>
        <sz val="10"/>
        <color indexed="8"/>
        <rFont val="Arial"/>
        <family val="2"/>
        <charset val="204"/>
      </rPr>
      <t>L6</t>
    </r>
    <r>
      <rPr>
        <sz val="10"/>
        <color indexed="8"/>
        <rFont val="AcadNusx"/>
      </rPr>
      <t>LWeris Cafluli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9 W </t>
    </r>
    <r>
      <rPr>
        <sz val="10"/>
        <color indexed="8"/>
        <rFont val="AcadNusx"/>
      </rPr>
      <t xml:space="preserve"> (sankvanZi)</t>
    </r>
  </si>
  <si>
    <r>
      <rPr>
        <sz val="10"/>
        <color indexed="8"/>
        <rFont val="Arial"/>
        <family val="2"/>
        <charset val="204"/>
      </rPr>
      <t>L7</t>
    </r>
    <r>
      <rPr>
        <sz val="10"/>
        <color indexed="8"/>
        <rFont val="AcadNusx"/>
      </rPr>
      <t>Lkedlis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9 W </t>
    </r>
    <r>
      <rPr>
        <sz val="10"/>
        <color indexed="8"/>
        <rFont val="AcadNusx"/>
      </rPr>
      <t xml:space="preserve"> (gare)</t>
    </r>
  </si>
  <si>
    <r>
      <rPr>
        <sz val="10"/>
        <color indexed="8"/>
        <rFont val="Arial"/>
        <family val="2"/>
        <charset val="204"/>
      </rPr>
      <t>L8</t>
    </r>
    <r>
      <rPr>
        <sz val="10"/>
        <color indexed="8"/>
        <rFont val="AcadNusx"/>
      </rPr>
      <t>Lkedlis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9 W </t>
    </r>
    <r>
      <rPr>
        <sz val="10"/>
        <color indexed="8"/>
        <rFont val="AcadNusx"/>
      </rPr>
      <t xml:space="preserve"> (sastumros nomeri)</t>
    </r>
  </si>
  <si>
    <r>
      <rPr>
        <sz val="10"/>
        <color indexed="8"/>
        <rFont val="Arial"/>
        <family val="2"/>
        <charset val="204"/>
      </rPr>
      <t>L9</t>
    </r>
    <r>
      <rPr>
        <sz val="10"/>
        <color indexed="8"/>
        <rFont val="AcadNusx"/>
      </rPr>
      <t>Lkedlis sanaTi</t>
    </r>
    <r>
      <rPr>
        <sz val="10"/>
        <color indexed="8"/>
        <rFont val="Arial"/>
        <family val="2"/>
        <charset val="204"/>
      </rPr>
      <t xml:space="preserve"> 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9 W </t>
    </r>
    <r>
      <rPr>
        <sz val="10"/>
        <color indexed="8"/>
        <rFont val="AcadNusx"/>
      </rPr>
      <t>akumulatoriT (kibis ujredi)</t>
    </r>
  </si>
  <si>
    <r>
      <rPr>
        <sz val="10"/>
        <color indexed="8"/>
        <rFont val="Arial"/>
        <family val="2"/>
        <charset val="204"/>
      </rPr>
      <t xml:space="preserve">L10 </t>
    </r>
    <r>
      <rPr>
        <sz val="10"/>
        <color indexed="8"/>
        <rFont val="AcadNusx"/>
      </rPr>
      <t xml:space="preserve">saevakuacio gasasvlelis maCvenebeli 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6 W </t>
    </r>
    <r>
      <rPr>
        <sz val="10"/>
        <color indexed="8"/>
        <rFont val="AcadNusx"/>
      </rPr>
      <t>akumulatoriT (derefani)</t>
    </r>
  </si>
  <si>
    <r>
      <rPr>
        <sz val="10"/>
        <color indexed="8"/>
        <rFont val="Arial"/>
        <family val="2"/>
        <charset val="204"/>
      </rPr>
      <t xml:space="preserve">L11 </t>
    </r>
    <r>
      <rPr>
        <sz val="10"/>
        <color indexed="8"/>
        <rFont val="AcadNusx"/>
      </rPr>
      <t>dioduri lenta (sigrZiT 4.0 m) kvebis blokiT kompleqtSi</t>
    </r>
    <r>
      <rPr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cadNusx"/>
      </rPr>
      <t>(sastumros nomeri)</t>
    </r>
  </si>
  <si>
    <r>
      <t>furnitura</t>
    </r>
    <r>
      <rPr>
        <b/>
        <sz val="10"/>
        <color indexed="8"/>
        <rFont val="AcadNusx"/>
      </rPr>
      <t xml:space="preserve"> </t>
    </r>
  </si>
  <si>
    <t>baraTiani CamrTveli</t>
  </si>
  <si>
    <t>erTklaviSiani CamrTveli</t>
  </si>
  <si>
    <t>orklaviSiani CamrTveli</t>
  </si>
  <si>
    <t>erTklaviSiani gadamrTveli</t>
  </si>
  <si>
    <t>orklaviSiani gadamrTveli</t>
  </si>
  <si>
    <t>Sualeduri gadamrTveli</t>
  </si>
  <si>
    <t>rozeti damiwebis kontaqtiT</t>
  </si>
  <si>
    <t>rozeti damiwebis kontaqtiT iatakis samotaJo yuTis</t>
  </si>
  <si>
    <r>
      <t xml:space="preserve">teqnikuri rozeti xuTpolusa </t>
    </r>
    <r>
      <rPr>
        <sz val="10"/>
        <rFont val="Arial"/>
        <family val="2"/>
        <charset val="204"/>
      </rPr>
      <t>32</t>
    </r>
    <r>
      <rPr>
        <sz val="10"/>
        <rFont val="AcadNusx"/>
      </rPr>
      <t xml:space="preserve">a </t>
    </r>
  </si>
  <si>
    <r>
      <t xml:space="preserve">sainst. gofr. mili </t>
    </r>
    <r>
      <rPr>
        <sz val="10"/>
        <rFont val="Arial"/>
        <family val="2"/>
        <charset val="204"/>
      </rPr>
      <t>Ø 16</t>
    </r>
    <r>
      <rPr>
        <sz val="10"/>
        <rFont val="AcadNusx"/>
      </rPr>
      <t xml:space="preserve"> mm  (aqsesuarebiT kompleqtSi)</t>
    </r>
  </si>
  <si>
    <r>
      <t xml:space="preserve">sainst. gofr. mili </t>
    </r>
    <r>
      <rPr>
        <sz val="10"/>
        <rFont val="Arial"/>
        <family val="2"/>
        <charset val="204"/>
      </rPr>
      <t>Ø 20</t>
    </r>
    <r>
      <rPr>
        <sz val="10"/>
        <rFont val="AcadNusx"/>
      </rPr>
      <t xml:space="preserve"> mm  (aqsesuarebiT kompleqtSi)</t>
    </r>
  </si>
  <si>
    <r>
      <t xml:space="preserve">sainst. gofr. mili </t>
    </r>
    <r>
      <rPr>
        <sz val="10"/>
        <rFont val="Arial"/>
        <family val="2"/>
        <charset val="204"/>
      </rPr>
      <t>Ø 25</t>
    </r>
    <r>
      <rPr>
        <sz val="10"/>
        <rFont val="AcadNusx"/>
      </rPr>
      <t xml:space="preserve"> mm  (aqsesuarebiT kompleqtSi)</t>
    </r>
  </si>
  <si>
    <r>
      <t xml:space="preserve">sainst. myari mili </t>
    </r>
    <r>
      <rPr>
        <sz val="10"/>
        <rFont val="Arial"/>
        <family val="2"/>
        <charset val="204"/>
      </rPr>
      <t>Ø 16</t>
    </r>
    <r>
      <rPr>
        <sz val="10"/>
        <rFont val="AcadNusx"/>
      </rPr>
      <t xml:space="preserve"> mm  (aqsesuarebiT kompleqtSi)</t>
    </r>
  </si>
  <si>
    <r>
      <t xml:space="preserve">sainst. myari mili </t>
    </r>
    <r>
      <rPr>
        <sz val="10"/>
        <rFont val="Arial"/>
        <family val="2"/>
        <charset val="204"/>
      </rPr>
      <t>Ø 20</t>
    </r>
    <r>
      <rPr>
        <sz val="10"/>
        <rFont val="AcadNusx"/>
      </rPr>
      <t xml:space="preserve"> mm  (aqsesuarebiT kompleqtSi)</t>
    </r>
  </si>
  <si>
    <r>
      <t xml:space="preserve">iatakis samontaJo yuTi </t>
    </r>
    <r>
      <rPr>
        <sz val="10"/>
        <color indexed="8"/>
        <rFont val="Arial"/>
        <family val="2"/>
        <charset val="204"/>
      </rPr>
      <t>4</t>
    </r>
    <r>
      <rPr>
        <sz val="10"/>
        <color indexed="8"/>
        <rFont val="AcadNusx"/>
      </rPr>
      <t xml:space="preserve"> modulze</t>
    </r>
  </si>
  <si>
    <r>
      <t xml:space="preserve">iatakis samontaJo yuTi </t>
    </r>
    <r>
      <rPr>
        <sz val="10"/>
        <color indexed="8"/>
        <rFont val="Arial"/>
        <family val="2"/>
        <charset val="204"/>
      </rPr>
      <t>6</t>
    </r>
    <r>
      <rPr>
        <sz val="10"/>
        <color indexed="8"/>
        <rFont val="AcadNusx"/>
      </rPr>
      <t xml:space="preserve"> modulze</t>
    </r>
  </si>
  <si>
    <r>
      <t xml:space="preserve">ganmStoebeli yuTi </t>
    </r>
    <r>
      <rPr>
        <sz val="10"/>
        <color indexed="8"/>
        <rFont val="Arial"/>
        <family val="2"/>
        <charset val="204"/>
      </rPr>
      <t>100X100X50</t>
    </r>
  </si>
  <si>
    <r>
      <t xml:space="preserve">rkinis sak. arxi perforirebuli </t>
    </r>
    <r>
      <rPr>
        <sz val="10"/>
        <rFont val="Arial"/>
        <family val="2"/>
        <charset val="204"/>
      </rPr>
      <t>300X60X1.0</t>
    </r>
    <r>
      <rPr>
        <sz val="10"/>
        <rFont val="AcadNusx"/>
      </rPr>
      <t>m  (aqsesuarebiT kompleqtSi)</t>
    </r>
  </si>
  <si>
    <r>
      <t xml:space="preserve">rkinis sak. arxi perforirebuli </t>
    </r>
    <r>
      <rPr>
        <sz val="10"/>
        <rFont val="Arial"/>
        <family val="2"/>
        <charset val="204"/>
      </rPr>
      <t>200X60X1.0</t>
    </r>
    <r>
      <rPr>
        <sz val="10"/>
        <rFont val="AcadNusx"/>
      </rPr>
      <t>m  (aqsesuarebiT kompleqtSi)</t>
    </r>
  </si>
  <si>
    <r>
      <t xml:space="preserve">rkinis sak. arxi perforirebuli </t>
    </r>
    <r>
      <rPr>
        <sz val="10"/>
        <rFont val="Arial"/>
        <family val="2"/>
        <charset val="204"/>
      </rPr>
      <t>100X60X1.0</t>
    </r>
    <r>
      <rPr>
        <sz val="10"/>
        <rFont val="AcadNusx"/>
      </rPr>
      <t>m  (aqsesuarebiT kompleqtSi)</t>
    </r>
  </si>
  <si>
    <r>
      <t xml:space="preserve">rkinis sak. arxi </t>
    </r>
    <r>
      <rPr>
        <sz val="10"/>
        <rFont val="Arial"/>
        <family val="2"/>
        <charset val="204"/>
      </rPr>
      <t>200X60X1.0</t>
    </r>
    <r>
      <rPr>
        <sz val="10"/>
        <rFont val="AcadNusx"/>
      </rPr>
      <t>mm  (aqsesuarebiT kompleqtSi)</t>
    </r>
  </si>
  <si>
    <r>
      <t xml:space="preserve">rkinis sak. arxis </t>
    </r>
    <r>
      <rPr>
        <sz val="10"/>
        <rFont val="Arial"/>
        <family val="2"/>
        <charset val="204"/>
      </rPr>
      <t>200X60X1.0</t>
    </r>
    <r>
      <rPr>
        <sz val="10"/>
        <rFont val="AcadNusx"/>
      </rPr>
      <t>mm Tavsaxuri</t>
    </r>
  </si>
  <si>
    <r>
      <t xml:space="preserve">rkinis sak. arxi </t>
    </r>
    <r>
      <rPr>
        <sz val="10"/>
        <rFont val="Arial"/>
        <family val="2"/>
        <charset val="204"/>
      </rPr>
      <t>100X60X1.0</t>
    </r>
    <r>
      <rPr>
        <sz val="10"/>
        <rFont val="AcadNusx"/>
      </rPr>
      <t>mm  (aqsesuarebiT kompleqtSi)</t>
    </r>
  </si>
  <si>
    <r>
      <t xml:space="preserve">rkinis sak. arxis </t>
    </r>
    <r>
      <rPr>
        <sz val="10"/>
        <rFont val="Arial"/>
        <family val="2"/>
        <charset val="204"/>
      </rPr>
      <t>100X60X1.0</t>
    </r>
    <r>
      <rPr>
        <sz val="10"/>
        <rFont val="AcadNusx"/>
      </rPr>
      <t>mm Tavsaxuri</t>
    </r>
  </si>
  <si>
    <r>
      <t xml:space="preserve">kibisebri rkinis sak. arxi </t>
    </r>
    <r>
      <rPr>
        <sz val="10"/>
        <rFont val="Arial"/>
        <family val="2"/>
        <charset val="204"/>
      </rPr>
      <t>300X60X2.0</t>
    </r>
    <r>
      <rPr>
        <sz val="10"/>
        <rFont val="AcadNusx"/>
      </rPr>
      <t>mm  (aqsesuarebiT kompleqtSi)</t>
    </r>
  </si>
  <si>
    <r>
      <t xml:space="preserve">kibisebri rkinis sak. arxi </t>
    </r>
    <r>
      <rPr>
        <sz val="10"/>
        <rFont val="Arial"/>
        <family val="2"/>
        <charset val="204"/>
      </rPr>
      <t>200X60X2.0</t>
    </r>
    <r>
      <rPr>
        <sz val="10"/>
        <rFont val="AcadNusx"/>
      </rPr>
      <t>mm  (aqsesuarebiT kompleqtSi)</t>
    </r>
  </si>
  <si>
    <r>
      <t xml:space="preserve">samontaJo masalebi (izolaciis lenti, samagrebi, Sesakravi)  (Sekvra </t>
    </r>
    <r>
      <rPr>
        <sz val="10"/>
        <rFont val="Arial"/>
        <family val="2"/>
        <charset val="204"/>
      </rPr>
      <t>100</t>
    </r>
    <r>
      <rPr>
        <sz val="10"/>
        <rFont val="AcadNusx"/>
      </rPr>
      <t xml:space="preserve"> cali)</t>
    </r>
  </si>
  <si>
    <t xml:space="preserve">damiweba </t>
  </si>
  <si>
    <r>
      <t xml:space="preserve">damiwebis glinula </t>
    </r>
    <r>
      <rPr>
        <sz val="10"/>
        <color indexed="8"/>
        <rFont val="Arial"/>
        <family val="2"/>
      </rPr>
      <t xml:space="preserve">Ø=10 </t>
    </r>
    <r>
      <rPr>
        <sz val="10"/>
        <color indexed="8"/>
        <rFont val="AcadNusx"/>
      </rPr>
      <t>mm</t>
    </r>
  </si>
  <si>
    <t>damiwebis Stanga (jvarisebri)</t>
  </si>
  <si>
    <r>
      <t xml:space="preserve">damiwebis Stangaze glinulas samagri </t>
    </r>
    <r>
      <rPr>
        <sz val="10"/>
        <color indexed="8"/>
        <rFont val="Arial"/>
        <family val="2"/>
      </rPr>
      <t>Ø=8-10</t>
    </r>
    <r>
      <rPr>
        <sz val="10"/>
        <color indexed="8"/>
        <rFont val="AcadNusx"/>
      </rPr>
      <t xml:space="preserve"> mm</t>
    </r>
  </si>
  <si>
    <r>
      <t xml:space="preserve">damiwebis Stangaze ori glinulas samagri </t>
    </r>
    <r>
      <rPr>
        <sz val="10"/>
        <color indexed="8"/>
        <rFont val="Arial"/>
        <family val="2"/>
      </rPr>
      <t>Ø=8-10</t>
    </r>
    <r>
      <rPr>
        <sz val="10"/>
        <color indexed="8"/>
        <rFont val="AcadNusx"/>
      </rPr>
      <t xml:space="preserve"> mm</t>
    </r>
  </si>
  <si>
    <t>mexamridi</t>
  </si>
  <si>
    <r>
      <t>aqtiuri mexamridi</t>
    </r>
    <r>
      <rPr>
        <sz val="10"/>
        <color indexed="8"/>
        <rFont val="Arial"/>
        <family val="2"/>
        <charset val="204"/>
      </rPr>
      <t xml:space="preserve"> FOREND PETEX-L (∆L:60)</t>
    </r>
  </si>
  <si>
    <r>
      <t xml:space="preserve">mexamridis sayrdeni anZa </t>
    </r>
    <r>
      <rPr>
        <sz val="10"/>
        <color indexed="8"/>
        <rFont val="Arial"/>
        <family val="2"/>
        <charset val="204"/>
      </rPr>
      <t>Ø76</t>
    </r>
    <r>
      <rPr>
        <sz val="10"/>
        <color indexed="8"/>
        <rFont val="AcadNusx"/>
      </rPr>
      <t>mm (galvaniz.)</t>
    </r>
  </si>
  <si>
    <t>gadamyvani detali xraxniT  (galvaniz.)</t>
  </si>
  <si>
    <r>
      <t xml:space="preserve">mexamridis sayrdeni anZis samagri WanWiki </t>
    </r>
    <r>
      <rPr>
        <sz val="10"/>
        <color indexed="8"/>
        <rFont val="Arial"/>
        <family val="2"/>
        <charset val="204"/>
      </rPr>
      <t>M12</t>
    </r>
  </si>
  <si>
    <r>
      <t xml:space="preserve">foladis zoli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</t>
    </r>
  </si>
  <si>
    <r>
      <t xml:space="preserve">foladis zolis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 samagri</t>
    </r>
  </si>
  <si>
    <r>
      <t xml:space="preserve">foladis zolis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 gadasambeli</t>
    </r>
  </si>
  <si>
    <r>
      <t xml:space="preserve">damcavi polieTilenis  mili </t>
    </r>
    <r>
      <rPr>
        <sz val="10"/>
        <color indexed="8"/>
        <rFont val="ZapfHumnst BT"/>
        <family val="2"/>
      </rPr>
      <t xml:space="preserve">Ø </t>
    </r>
    <r>
      <rPr>
        <sz val="10"/>
        <color indexed="8"/>
        <rFont val="Arial"/>
        <family val="2"/>
        <charset val="204"/>
      </rPr>
      <t>50</t>
    </r>
    <r>
      <rPr>
        <sz val="10"/>
        <color indexed="8"/>
        <rFont val="AcadNusx"/>
      </rPr>
      <t>mm.</t>
    </r>
  </si>
  <si>
    <r>
      <t xml:space="preserve">damcavi polieTileni </t>
    </r>
    <r>
      <rPr>
        <sz val="10"/>
        <color indexed="8"/>
        <rFont val="ZapfHumnst BT"/>
        <family val="2"/>
      </rPr>
      <t>Ø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50</t>
    </r>
    <r>
      <rPr>
        <sz val="10"/>
        <color indexed="8"/>
        <rFont val="AcadNusx"/>
      </rPr>
      <t xml:space="preserve">mm. milis samagri </t>
    </r>
  </si>
  <si>
    <r>
      <t xml:space="preserve">damiwebis Rero (spilenZiT dafar. specfoladi) </t>
    </r>
    <r>
      <rPr>
        <sz val="10"/>
        <color indexed="8"/>
        <rFont val="Arial"/>
        <family val="2"/>
        <charset val="204"/>
      </rPr>
      <t>20</t>
    </r>
    <r>
      <rPr>
        <sz val="10"/>
        <color indexed="8"/>
        <rFont val="AcadNusx"/>
      </rPr>
      <t>mm</t>
    </r>
  </si>
  <si>
    <t>damiwebis Rerosa da zolis gadabmis detali</t>
  </si>
  <si>
    <t xml:space="preserve">zolis jvaredini SemakavSirebeli  </t>
  </si>
  <si>
    <r>
      <t xml:space="preserve">damiwebis Reros Tavi  </t>
    </r>
    <r>
      <rPr>
        <sz val="10"/>
        <color indexed="8"/>
        <rFont val="Arial"/>
        <family val="2"/>
        <charset val="204"/>
      </rPr>
      <t xml:space="preserve">Ø20  </t>
    </r>
  </si>
  <si>
    <r>
      <t xml:space="preserve">damiwebis Reros bolo </t>
    </r>
    <r>
      <rPr>
        <sz val="10"/>
        <color indexed="8"/>
        <rFont val="Arial"/>
        <family val="2"/>
        <charset val="204"/>
      </rPr>
      <t xml:space="preserve">Ø20  </t>
    </r>
  </si>
  <si>
    <t>miwis samuSaoebi</t>
  </si>
  <si>
    <t>filis ayra dagebiT</t>
  </si>
  <si>
    <r>
      <t>m</t>
    </r>
    <r>
      <rPr>
        <vertAlign val="superscript"/>
        <sz val="10"/>
        <color indexed="8"/>
        <rFont val="AcadNusx"/>
      </rPr>
      <t>2</t>
    </r>
  </si>
  <si>
    <t>tranSeis gaTxra xeliT qselis mosawyobad</t>
  </si>
  <si>
    <r>
      <t>m</t>
    </r>
    <r>
      <rPr>
        <vertAlign val="superscript"/>
        <sz val="10"/>
        <rFont val="AcadNusx"/>
      </rPr>
      <t>3</t>
    </r>
  </si>
  <si>
    <t>wvrili fraqciis qviSis fena</t>
  </si>
  <si>
    <t xml:space="preserve">gruntis ukan Cayra </t>
  </si>
  <si>
    <r>
      <t>m</t>
    </r>
    <r>
      <rPr>
        <vertAlign val="superscript"/>
        <sz val="10"/>
        <color indexed="8"/>
        <rFont val="AcadNusx"/>
      </rPr>
      <t>3</t>
    </r>
  </si>
  <si>
    <t>miwis gatana meqanizmiT</t>
  </si>
  <si>
    <t>sasignalo lenta</t>
  </si>
  <si>
    <t>სახანძრო სისტემის მაღალწნევიანი სატუმბი სადგურის კომპლექტი,  ლითონის მოდულით, ჰორიზონტალური საყრდენი ძირით, მრავალსაფეხურიანი ძრავებით, გამაფართოებელი ავზით, მართვის ბლოკით, ვენტილებით, უკუსარქველებით, სამონტაჟო კომპლექტით. Q=75.0 მ3/სთ, H=65მ. მთავარი ძრავი 40 KW (400v) სარეზერვო ძრავი 40 KW (400v). ჟოკეი ძრავი 1.1 KW (400v). DIN 4807; ISO 9001; ISO14001; EN12845; სტანდარტების შესაბამისი</t>
  </si>
  <si>
    <t>წყალ-სასიგნალო სარქველი  Ø 100</t>
  </si>
  <si>
    <t>ტუმბოს ტესტირების ვენტილი  Ø 150</t>
  </si>
  <si>
    <t>ნაკადის რელე (კომპლექტი) Ø 80</t>
  </si>
  <si>
    <t>მანომეტრი სამსვლიანი ვენტილით  Ø 80</t>
  </si>
  <si>
    <t xml:space="preserve">სოლისებრი ურდული  Ø 150 </t>
  </si>
  <si>
    <t>სოლისებრი ურდული  Ø 80</t>
  </si>
  <si>
    <t>ფილტრი  Ø 150</t>
  </si>
  <si>
    <t>უკუსარქველი  Ø 80</t>
  </si>
  <si>
    <t xml:space="preserve">სპრინკლერის სისტემის დამცლელი ონკანი </t>
  </si>
  <si>
    <t>სახანძრო შემაერთებელი ორი თავით  (მოძრავი ტექნიკის მიერთებისთვის)</t>
  </si>
  <si>
    <t>პოლიეთილენის მილი  Ø 75 PN 10 (მუხლი, ჯვარედი, სამკაპი, გადამყვანი, და აშ კომპლექტში)</t>
  </si>
  <si>
    <t>პოლიეთილენის მილი  Ø 50 PN 10 (მუხლი, ჯვარედი, სამკაპი, გადამყვანი, და აშ კომპლექტში)</t>
  </si>
  <si>
    <t>პოლიეთილენის მილი  Ø 32 PN 10 (მუხლი, ჯვარედი, სამკაპი, გადამყვანი, და აშ კომპლექტში)</t>
  </si>
  <si>
    <t>სპრინკლერი ქვედა გარქვევის  P1/2  68°C</t>
  </si>
  <si>
    <t>სპრინკლერი კედლის  P1/2  68°C</t>
  </si>
  <si>
    <t>სპრინკლერი ქვედა გარქვევის  P1/2  93°C</t>
  </si>
  <si>
    <t>მოქნილი მაღალწნევიანი მილი   0.8 მ  (სპრინკლერისთვის)</t>
  </si>
  <si>
    <t>დრენაჟის ტუმბო Q=14.0 მ3/სთ, H=10მ</t>
  </si>
  <si>
    <t>ელექტროობა</t>
  </si>
  <si>
    <t>სუსტი დენები</t>
  </si>
  <si>
    <t>ჯამური ღირებულება</t>
  </si>
  <si>
    <t>გათბობა-გაგრილება</t>
  </si>
  <si>
    <t>18-2-10</t>
  </si>
  <si>
    <t>ქვაბი ელექტრო 105 kw (კასკადური დაერთების)</t>
  </si>
  <si>
    <t>7-197</t>
  </si>
  <si>
    <t>18-2-7</t>
  </si>
  <si>
    <t>ქვაბი ელექტრო 60 kw</t>
  </si>
  <si>
    <t>7-195</t>
  </si>
  <si>
    <t>20-31-2</t>
  </si>
  <si>
    <t>ელექტრო თბური ფარდა სიგრძე 1.5მ სიმძლავრე 3კვტ</t>
  </si>
  <si>
    <t>20-31-5</t>
  </si>
  <si>
    <t>პრეციზიული კონდიციონერი 14.1 კვტ გაგრილების (შესაბამისი სპილენძის მილსადენით)</t>
  </si>
  <si>
    <t>პრეციზიული კონდიციონერი 14.1 კვტ გაგრილების</t>
  </si>
  <si>
    <t>20-31-1</t>
  </si>
  <si>
    <t>სპლიტ კონდიციონერი (შესაბამისი სპილენძის მილსადენით)</t>
  </si>
  <si>
    <t>სპლიტ კონდიციონერი 7.1 გაგრილება</t>
  </si>
  <si>
    <t>სპლიტ კონდიციონერი 12.0 გაგრილება</t>
  </si>
  <si>
    <t>18-4-1</t>
  </si>
  <si>
    <t>მოცულობითი ბოილერი 1000 ლიტრი</t>
  </si>
  <si>
    <t>მილტუჩი ლითონის</t>
  </si>
  <si>
    <r>
      <t>რეცირკულაციის ტუმბო 2.2m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H=4.2მ</t>
    </r>
  </si>
  <si>
    <t>ტუმბო</t>
  </si>
  <si>
    <t>18-6-1</t>
  </si>
  <si>
    <t>საფართოვებელი ავზი 200Lt (გათბობა)</t>
  </si>
  <si>
    <t xml:space="preserve">ავზი  </t>
  </si>
  <si>
    <t>18-5-1</t>
  </si>
  <si>
    <t>სექციური რადიატორების მოწყობა</t>
  </si>
  <si>
    <t>სექცია</t>
  </si>
  <si>
    <t>რადიატორი სექციური</t>
  </si>
  <si>
    <t>ვენტილების მოწყობა</t>
  </si>
  <si>
    <t>სექციური რადიატორების ვენტილი</t>
  </si>
  <si>
    <t>ჰაერგამშვები რადიატორისთვის</t>
  </si>
  <si>
    <t>საკიდი რადიატორის</t>
  </si>
  <si>
    <t>,,ზაგლუშკა'' რადიატორისთვის</t>
  </si>
  <si>
    <t>20 3/4'' ქურო შ/ხ DIZAYN</t>
  </si>
  <si>
    <t>6-528</t>
  </si>
  <si>
    <t>18-11-7</t>
  </si>
  <si>
    <t>ჰაერგამშვების მოწყობა</t>
  </si>
  <si>
    <t>პოლუპროპილენის ალუმინით არმირებული მილები და ფიტინგები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</si>
  <si>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20</t>
    </r>
  </si>
  <si>
    <t>2.4-23</t>
  </si>
  <si>
    <t>მილი დ=20მმ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</si>
  <si>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25</t>
    </r>
  </si>
  <si>
    <t>2.4-24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</si>
  <si>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32</t>
    </r>
  </si>
  <si>
    <t>მილი დ=25მმ</t>
  </si>
  <si>
    <t>მილი დ=32მმ</t>
  </si>
  <si>
    <t>2.4-25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</si>
  <si>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40</t>
    </r>
  </si>
  <si>
    <t>მილი დ=40მმ</t>
  </si>
  <si>
    <t>2.4-26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</si>
  <si>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50</t>
    </r>
  </si>
  <si>
    <t>მილი დ=50მმ</t>
  </si>
  <si>
    <t>2.4-27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</si>
  <si>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63</t>
    </r>
  </si>
  <si>
    <t>მილი დ=63მმ</t>
  </si>
  <si>
    <t>2.4-28</t>
  </si>
  <si>
    <r>
      <t xml:space="preserve">პოლიპროპილენის ალუმინით არმირებული მილი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 xml:space="preserve"> 75</t>
    </r>
  </si>
  <si>
    <t>2.4-29</t>
  </si>
  <si>
    <t>35/13მმ კაუჩუკის თბოიზოლაცია</t>
  </si>
  <si>
    <t>28/13მმ კაუჩუკის თბოიზოლაცია</t>
  </si>
  <si>
    <t>22/13მმ კაუჩუკის თბოიზოლაცია</t>
  </si>
  <si>
    <t>42/13მმ კაუჩუკის თბოიზოლაცია</t>
  </si>
  <si>
    <t>54/13მმ კაუჩუკის თბოიზოლაცია</t>
  </si>
  <si>
    <t>63/13მმ კაუჩუკის თბოიზოლაცია</t>
  </si>
  <si>
    <t>76/13მმ კაუჩუკის თბოიზოლაცია</t>
  </si>
  <si>
    <t>მუხლების მოწყობა</t>
  </si>
  <si>
    <t>22-23-1</t>
  </si>
  <si>
    <r>
      <t>მუხლი 20მმ 90</t>
    </r>
    <r>
      <rPr>
        <sz val="10"/>
        <rFont val="Calibri"/>
        <family val="2"/>
      </rPr>
      <t>°</t>
    </r>
  </si>
  <si>
    <r>
      <t>მუხლი 25მმ 90</t>
    </r>
    <r>
      <rPr>
        <sz val="10"/>
        <rFont val="Calibri"/>
        <family val="2"/>
      </rPr>
      <t>°</t>
    </r>
  </si>
  <si>
    <r>
      <t>მუხლი 32მმ 90</t>
    </r>
    <r>
      <rPr>
        <sz val="10"/>
        <rFont val="Calibri"/>
        <family val="2"/>
      </rPr>
      <t>°</t>
    </r>
  </si>
  <si>
    <r>
      <t>მუხლი 40მმ 90</t>
    </r>
    <r>
      <rPr>
        <sz val="10"/>
        <rFont val="Calibri"/>
        <family val="2"/>
      </rPr>
      <t>°</t>
    </r>
  </si>
  <si>
    <r>
      <t>მუხლი 50მმ 90</t>
    </r>
    <r>
      <rPr>
        <sz val="10"/>
        <rFont val="Calibri"/>
        <family val="2"/>
      </rPr>
      <t>°</t>
    </r>
  </si>
  <si>
    <r>
      <t>მუხლი 63მმ 90</t>
    </r>
    <r>
      <rPr>
        <sz val="10"/>
        <rFont val="Calibri"/>
        <family val="2"/>
      </rPr>
      <t>°</t>
    </r>
  </si>
  <si>
    <r>
      <t>მუხლი 75მმ 90</t>
    </r>
    <r>
      <rPr>
        <sz val="10"/>
        <rFont val="Calibri"/>
        <family val="2"/>
      </rPr>
      <t>°</t>
    </r>
  </si>
  <si>
    <t>22-23-2</t>
  </si>
  <si>
    <t>სამკაპის მოწყობა</t>
  </si>
  <si>
    <t>20მმ სამკაპი</t>
  </si>
  <si>
    <t>25მმ სამკაპი</t>
  </si>
  <si>
    <t>32მმ სამკაპი</t>
  </si>
  <si>
    <t>40მმ სამკაპი</t>
  </si>
  <si>
    <t>50მმ სამკაპი</t>
  </si>
  <si>
    <t>63მმ სამკაპი</t>
  </si>
  <si>
    <t>75მმ სამკაპი</t>
  </si>
  <si>
    <t>სამსვლიანი ვენტილი (სერვოძრავით) 25მმ (სავენტილაციო დანადგარებისთვის</t>
  </si>
  <si>
    <t>სამსვლიანი ვენტილი (სერვოძრავით) 32მმ (სავენტილაციო დანადგარებისთვის</t>
  </si>
  <si>
    <t>სამსვლიანი ვენტილი (სერვოძრავით) 63მმ (სავენტილაციო დანადგარებისთვის</t>
  </si>
  <si>
    <t>16-8-1</t>
  </si>
  <si>
    <t>ფოლადის მილების მონტაჟი</t>
  </si>
  <si>
    <t xml:space="preserve">ფოლადის მილი 200მმ </t>
  </si>
  <si>
    <t xml:space="preserve">ფოლადის მილი 125მმ </t>
  </si>
  <si>
    <t>16-8-7</t>
  </si>
  <si>
    <t>16-12-4</t>
  </si>
  <si>
    <t>ფოლადის მილის სამკაპი 200მმ</t>
  </si>
  <si>
    <t xml:space="preserve">ფოლადის სამკაპი 200მმ </t>
  </si>
  <si>
    <t>22-22-5</t>
  </si>
  <si>
    <t>ფოლადის მუხლი დ=125/90 მმ</t>
  </si>
  <si>
    <t>ფოლადის მუხლის  მოწყობა დ=125/90 მმ</t>
  </si>
  <si>
    <t>მუფთის (ამერიკანკა) მონტაჟი</t>
  </si>
  <si>
    <r>
      <t xml:space="preserve">ამერიკანკა </t>
    </r>
    <r>
      <rPr>
        <sz val="10"/>
        <rFont val="Calibri"/>
        <family val="2"/>
      </rPr>
      <t>Ø</t>
    </r>
    <r>
      <rPr>
        <sz val="10"/>
        <rFont val="Sylfaen"/>
        <family val="1"/>
      </rPr>
      <t>40 ფოლადიდან პოლიპროპილენზე გადამყვანი</t>
    </r>
  </si>
  <si>
    <r>
      <t xml:space="preserve">ამერიკანკა </t>
    </r>
    <r>
      <rPr>
        <sz val="10"/>
        <rFont val="Calibri"/>
        <family val="2"/>
      </rPr>
      <t>Ø5</t>
    </r>
    <r>
      <rPr>
        <sz val="10"/>
        <rFont val="Sylfaen"/>
        <family val="1"/>
      </rPr>
      <t>0 ფოლადიდან პოლიპროპილენზე გადამყვანი</t>
    </r>
  </si>
  <si>
    <r>
      <t xml:space="preserve">ამერიკანკა </t>
    </r>
    <r>
      <rPr>
        <sz val="10"/>
        <rFont val="Calibri"/>
        <family val="2"/>
      </rPr>
      <t>Ø63</t>
    </r>
    <r>
      <rPr>
        <sz val="10"/>
        <rFont val="Sylfaen"/>
        <family val="1"/>
      </rPr>
      <t xml:space="preserve"> ფოლადიდან პოლიპროპილენზე გადამყვანი</t>
    </r>
  </si>
  <si>
    <r>
      <t xml:space="preserve">ამერიკანკა </t>
    </r>
    <r>
      <rPr>
        <sz val="10"/>
        <rFont val="Calibri"/>
        <family val="2"/>
      </rPr>
      <t>Ø75</t>
    </r>
    <r>
      <rPr>
        <sz val="10"/>
        <rFont val="Sylfaen"/>
        <family val="1"/>
      </rPr>
      <t xml:space="preserve"> ფოლადიდან პოლიპროპილენზე გადამყვანი</t>
    </r>
  </si>
  <si>
    <t>საცირკულაციო ტუმბოები და საინსტალაციო მასალები</t>
  </si>
  <si>
    <r>
      <t>საცირკულაციო ტუმბო 8.6m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H=6.8მ</t>
    </r>
  </si>
  <si>
    <r>
      <t>საცირკულაციო ტუმბო 8.2m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H=6.4მ</t>
    </r>
  </si>
  <si>
    <r>
      <t>საცირკულაციო ტუმბო 2.5m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H=3.2მ</t>
    </r>
  </si>
  <si>
    <r>
      <t>საცირკულაციო ტუმბო 2.5m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H=6.1მ</t>
    </r>
  </si>
  <si>
    <r>
      <t>საცირკულაციო ტუმბო 6.4m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H=5.6მ</t>
    </r>
  </si>
  <si>
    <r>
      <t>საცირკულაციო ტუმბო 9.9m</t>
    </r>
    <r>
      <rPr>
        <b/>
        <sz val="10"/>
        <rFont val="Calibri"/>
        <family val="2"/>
      </rPr>
      <t>³</t>
    </r>
    <r>
      <rPr>
        <b/>
        <sz val="10"/>
        <rFont val="Sylfaen"/>
        <family val="1"/>
      </rPr>
      <t>/h H=8.7მ</t>
    </r>
  </si>
  <si>
    <t>18-14-6</t>
  </si>
  <si>
    <t>თუჯის ფილტრის მოწყობა</t>
  </si>
  <si>
    <t>თუჯის ფილტრი</t>
  </si>
  <si>
    <t>22-24-2</t>
  </si>
  <si>
    <t>კომპენსატორი d=75</t>
  </si>
  <si>
    <t>კომპენსატორი d=63</t>
  </si>
  <si>
    <t>კომპენსატორის მონტაჟი</t>
  </si>
  <si>
    <t>22-24-1</t>
  </si>
  <si>
    <t>კომპენსატორი d=50</t>
  </si>
  <si>
    <t>კომპენსატორი d=40</t>
  </si>
  <si>
    <t>საკვალთი დისკური საბრუნით; მილტუჩი; შუასადები; მილტუჩის ადაპტორი; გადამყვანები; ჰაერგამშვებები; ვენტილები; უკუსარქველები; თერმომეტრები; მანომეტრები; დამცველი სარქველები; ავტომატური ჰაერგამშვებები; ფილტრები - (ტუმბოების ღირებულების 40%)</t>
  </si>
  <si>
    <t>პროექტით</t>
  </si>
  <si>
    <t xml:space="preserve">საშრობი 450 ვატი </t>
  </si>
  <si>
    <t>20-1-2</t>
  </si>
  <si>
    <t>ვენტილაცია</t>
  </si>
  <si>
    <t>ჰაერსატარი მოთუთიებული ფოლადის სისქით 0.5მმ</t>
  </si>
  <si>
    <t>ჰაერსატარი მოთუთიებული ფოლადის სისქით 0.7მმ</t>
  </si>
  <si>
    <t>26-13-2</t>
  </si>
  <si>
    <t>ჰაერსატარების იზოლაცია კაუჩუკის სისქით 9მმ</t>
  </si>
  <si>
    <t>ჰაერსატარების იზოლაცია კაუჩუკის სისქით 13მმ</t>
  </si>
  <si>
    <t>გოფრირებული ჰაერსატარი D 125მმ</t>
  </si>
  <si>
    <t>გოფრირებული ჰაერსატარი D 150მმ</t>
  </si>
  <si>
    <t>გოფრირებული ჰაერსატარი D 200მმ</t>
  </si>
  <si>
    <t>გოფრირებული ჰაერსატარი D 250მმ</t>
  </si>
  <si>
    <t>გოფრირებული ჰაერსატარი D 300მმ</t>
  </si>
  <si>
    <t>20-7-1</t>
  </si>
  <si>
    <t>ცხაური 300X150მმ</t>
  </si>
  <si>
    <t>ცხაურის მოწყობა 300X150მმ (პლენუმ ბოქსით)</t>
  </si>
  <si>
    <t>პლენუმ ბოქსი</t>
  </si>
  <si>
    <t>ცხაურის მოწყობა ჰაერმარეგულირებლით</t>
  </si>
  <si>
    <t>ცხაური ჰაერმარეგულირებლით 150X150 მმ</t>
  </si>
  <si>
    <t>ცხაური ჰაერმარეგულირებლით 150X200 მმ</t>
  </si>
  <si>
    <t>ცხაური ჰაერმარეგულირებლით 150X250 მმ</t>
  </si>
  <si>
    <t>ცხაური ჰაერმარეგულირებლით 200X100 მმ</t>
  </si>
  <si>
    <t>ცხაური ჰაერმარეგულირებლით 200X150 მმ</t>
  </si>
  <si>
    <t>20-7-4</t>
  </si>
  <si>
    <t xml:space="preserve">დიფუზორი ჰაერმარეგულირებლით </t>
  </si>
  <si>
    <t>დიფუზორი ჰაერმარეგულირებლით 300x300</t>
  </si>
  <si>
    <t>20-7-2</t>
  </si>
  <si>
    <t>გამწოვი ცხაურა ჰაერმარეგულირებლით d=150</t>
  </si>
  <si>
    <t>სარქველების მონტაჟი</t>
  </si>
  <si>
    <t>ჰაერის მარეგულირებელი სარქველების მონტაჟი</t>
  </si>
  <si>
    <t>ჰაერის მარეგულირებელი სარქველი 200x150მმ</t>
  </si>
  <si>
    <t>ჰაერის მარეგულირებელი სარქველი 300x150მმ</t>
  </si>
  <si>
    <t>ჰაერის მარეგულირებელი სარქველი 350x200მმ</t>
  </si>
  <si>
    <t>ჰაერის მარეგულირებელი სარქველი 450x200მმ</t>
  </si>
  <si>
    <t>ჰაერის მარეგულირებელი სარქველი 500x250მმ</t>
  </si>
  <si>
    <t>ჰაერის მარეგულირებელი სარქველი 550x300მმ</t>
  </si>
  <si>
    <t>ჰაერის მარეგულირებელი სარქველი 600x250მმ</t>
  </si>
  <si>
    <t>ჰაერის მარეგულირებელი სარქველი 650x350მმ</t>
  </si>
  <si>
    <t>ჰაერის მარეგულირებელი სარქველი 900x500მმ</t>
  </si>
  <si>
    <t>ჰაერის მარეგულირებელი სარქველი 1000x500მმ</t>
  </si>
  <si>
    <t>სახანძრო დემფერი 150x150 მმ</t>
  </si>
  <si>
    <t>სახანძრო დემფერი d=150mm</t>
  </si>
  <si>
    <t>სახანძრო დემფერი 150x250 მმ</t>
  </si>
  <si>
    <t>სახანძრო დემფერი 200x150 მმ</t>
  </si>
  <si>
    <t>სახანძრო დემფერი 550x300 მმ</t>
  </si>
  <si>
    <t>სახანძრო დემფერი 650x350 მმ</t>
  </si>
  <si>
    <t>სამონტაჟო მასალები</t>
  </si>
  <si>
    <t>20-41-3</t>
  </si>
  <si>
    <t>სამზარეულოს გამწოვი ვენტილატორი L=7000 მ3/სთ; Dp=350 Pa</t>
  </si>
  <si>
    <t>სამზარეულოს გამწოვი ვენტილატორი L=5000 მ3/სთ; Dp=300 Pa</t>
  </si>
  <si>
    <t>სამზარეულოს გამწოვი ვენტილატორი L=3000 მ3/სთ; Dp=250 Pa</t>
  </si>
  <si>
    <t>გამწოვი ვენტილატორი L=300მ3/სთ Dp=150 Pa</t>
  </si>
  <si>
    <t>20-41-4</t>
  </si>
  <si>
    <t>გამწოვი ვენტილატორი L=250მ3/სთ Dp=150 Pa</t>
  </si>
  <si>
    <t>გამწოვი ვენტილატორი L=150მ3/სთ Dp=150 Pa</t>
  </si>
  <si>
    <t>მოდინებითი სავენტილაციო დანადგარი AHU1, ჰაერგამათბობელი თბომცვლელით სიმძლავრით Q=145 kw, ჰაერის წარმადობით მიწოდებაზე V=14000 m3/h, თავისუფალი ჭავლი Dp=400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(L=4მ, H=2მ)</t>
  </si>
  <si>
    <t>მოდინებითი სავენტილაციო დანადგარი AHU2, ჰაერგამათბობელი თბომცვლელით სიმძლავრით Q=25 kw, ჰაერის წარმადობით მიწოდებაზე V=3400 m3/h, თავისუფალი ჭავლი Dp=300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(L=4მ, H=2მ)</t>
  </si>
  <si>
    <t xml:space="preserve">მოდინებითი სავენტილაციო დანადგარი AHU3, ჰაერგამათბობელი თბომცვლელით სიმძლავრით Q=30 kw, ჰაერის წარმადობით მიწოდებაზე V=4150 m3/h, თავისუფალი ჭავლი Dp=400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</t>
  </si>
  <si>
    <t>მოდინებითი სავენტილაციო დანადგარი AHU4, ჰაერგამათბობელი თბომცვლელით სიმძლავრით Q=15 kw, ჰაერის წარმადობით მიწოდებაზე V=2000 m3/h, თავისუფალი ჭავლი Dp=250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(H=380მმ, A=2900მმ, B=1560მმ)</t>
  </si>
  <si>
    <t>მოდინებითი სავენტილაციო დანადგარი AHU5, ჰაერგამათბობელი თბომცვლელით სიმძლავრით Q=15 kw, ჰაერის წარმადობით მიწოდებაზე V=2050 m3/h, თავისუფალი ჭავლი Dp=300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(H=380მმ, A=2900მმ, B=1560მმ)</t>
  </si>
  <si>
    <t>მოდინებითი სავენტილაციო დანადგარი AHU6, ჰაერგამათბობელი თბომცვლელით სიმძლავრით Q=15 kw, ჰაერის წარმადობით მიწოდებაზე V=1400 m3/h, თავისუფალი ჭავლი Dp=250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(H=380მმ, A=2900მმ, B=1560მმ)</t>
  </si>
  <si>
    <t>მოდინებითი სავენტილაციო დანადგარი AHU7, ჰაერგამათბობელი თბომცვლელით სიმძლავრით Q=15 kw, ჰაერის წარმადობით მიწოდებაზე V=1400 m3/h, თავისუფალი ჭავლი Dp=250 Pa. ვენტილაციის ძრავების სიხშირული მართვით, ხმის დამხშობებით, ანტივიბრაციული ბალიშებით, G4+F7 ფილტრებით სუფთა ჰაერის მხარეს, მოქნილი მიერთებებით, მართვის პულტით (H=380მმ, A=2900მმ, B=1560მმ)</t>
  </si>
  <si>
    <t>სახანძრო ვენტილაცია</t>
  </si>
  <si>
    <t>ჰაერსატარი მოთუთიებული ფოლადის სისქით 1.2მმ</t>
  </si>
  <si>
    <r>
      <t>კვამლგამწოვი ვენტილატორი 16500 მ3/სთ. 300 პა 400</t>
    </r>
    <r>
      <rPr>
        <b/>
        <sz val="10"/>
        <rFont val="Calibri"/>
        <family val="2"/>
      </rPr>
      <t>°c 120წთ</t>
    </r>
  </si>
  <si>
    <t>მიმწოდებელი ვენტილატორი 30000მ3/სთ, 150 პა (კიბის უჯრედის ნაწნეხვა)</t>
  </si>
  <si>
    <t>მიმწოდებელი ვენტილატორი 26000მ3/სთ, 150 პა (კიბის უჯრედის ნაწნეხვა)</t>
  </si>
  <si>
    <t>მიმწოდებელი ვენტილატორი 10500მ3/სთ, 250 პა (კიბის უჯრედის ნაწნეხვა)</t>
  </si>
  <si>
    <t>მიმწოდებელი ვენტილატორი 5700მ3/სთ, 150 პა (კიბის უჯრედის ნაწნეხვა)</t>
  </si>
  <si>
    <t>მიმწოდებელი ვენტილატორი 5250მ3/სთ, 300 პა (კიბის უჯრედის ნაწნეხვა)</t>
  </si>
  <si>
    <t>მიმწოდებელი ვენტილატორი 5250მ3/სთ, 200 პა (კიბის უჯრედის ნაწნეხვა)</t>
  </si>
  <si>
    <t>სახანძრო სარქველი ელ. მაგნიტური მართვით (450x400) El 60</t>
  </si>
  <si>
    <t>სახანძრო სარქველი ელ. მაგნიტური მართვით (900x400) El 60</t>
  </si>
  <si>
    <t>სარქველი ელ.მაგნიტური მართვით (350x850)</t>
  </si>
  <si>
    <t>სარქველი ელ.მაგნიტური მართვით (500x600)</t>
  </si>
  <si>
    <t>სარქველი ელ.მაგნიტური მართვით (600x500)</t>
  </si>
  <si>
    <t>სარქველი ელ.მაგნიტური მართვით (1000x300)</t>
  </si>
  <si>
    <t>სარქველი ელ.მაგნიტური მართვით (1000x600)</t>
  </si>
  <si>
    <t>სარქველი ელ.მაგნიტური მართვით (1000x550)</t>
  </si>
  <si>
    <t>სავენტილაციო დეფლექტორი d=200x150 მმ</t>
  </si>
  <si>
    <t>სავენტილაციო დეფლექტორი d=300x200 მმ</t>
  </si>
  <si>
    <t>სავენტილაციო დეფლექტორი d=500x300 მმ</t>
  </si>
  <si>
    <t>სავენტილაციო დეფლექტორი d=550x300 მმ</t>
  </si>
  <si>
    <t>სავენტილაციო დეფლექტორი d=600x300 მმ</t>
  </si>
  <si>
    <t>სავენტილაციო დეფლექტორი d=650x300 მმ</t>
  </si>
  <si>
    <t>სავენტილაციო დეფლექტორი d=650x400 მმ</t>
  </si>
  <si>
    <t>სავენტილაციო დეფლექტორი d=800x450 მმ</t>
  </si>
  <si>
    <t>სავენტილაციო დეფლექტორი d=1000x550 მმ</t>
  </si>
  <si>
    <t>სავენტილაციო დეფლექტორი 400x550</t>
  </si>
  <si>
    <t>სავენტილაციო დეფლექტორი 550x350</t>
  </si>
  <si>
    <t>სავენტილაციო დეფლექტორი 550x400</t>
  </si>
  <si>
    <t>სავენტილაციო დეფლექტორი 650x450</t>
  </si>
  <si>
    <t>სავენტილაციო დეფლექტორი 750x450</t>
  </si>
  <si>
    <t>სავენტილაციო დეფლექტორი 850x500</t>
  </si>
  <si>
    <t>სავენტილაციო დეფლექტორი 1000x450</t>
  </si>
  <si>
    <t>სავენტილაციო დეფლექტორი 1100x600</t>
  </si>
  <si>
    <t>სავენტილაციო დეფლექტორი 1100x650</t>
  </si>
  <si>
    <t xml:space="preserve">ცხაურის მოწყობა </t>
  </si>
  <si>
    <t>ცხაური 400X900 მმ</t>
  </si>
  <si>
    <t>ცხაური 500X450 მმ</t>
  </si>
  <si>
    <t>ცხაური 550X650 მმ</t>
  </si>
  <si>
    <t>ცხაური 1000X500 მმ</t>
  </si>
  <si>
    <t>ცხაური 1100X350 მმ</t>
  </si>
  <si>
    <t>ცხაური 1100X600 მმ</t>
  </si>
  <si>
    <t>ცხაური 1100X650 მმ</t>
  </si>
  <si>
    <t>ხანძარქრობა'</t>
  </si>
  <si>
    <t>18-8-4</t>
  </si>
  <si>
    <t>სატუმბო სადგური</t>
  </si>
  <si>
    <t>22-25-3</t>
  </si>
  <si>
    <t>22-25-2</t>
  </si>
  <si>
    <r>
      <t xml:space="preserve">წყალ-სასიგნალო სარქველის მონტაჟი </t>
    </r>
    <r>
      <rPr>
        <b/>
        <sz val="10"/>
        <rFont val="Calibri"/>
        <family val="2"/>
      </rPr>
      <t>Ø</t>
    </r>
    <r>
      <rPr>
        <b/>
        <sz val="10"/>
        <rFont val="Sylfaen"/>
        <family val="1"/>
      </rPr>
      <t>100</t>
    </r>
  </si>
  <si>
    <t>16-18-6</t>
  </si>
  <si>
    <t>წნევის მარეგულირებლის მონტაჟი Ø 150</t>
  </si>
  <si>
    <t>წნევის მარეგულირებელი Ø 150</t>
  </si>
  <si>
    <t>18-15-3</t>
  </si>
  <si>
    <t>16-16-1</t>
  </si>
  <si>
    <t>პოლიეთილენის მილი  Ø 75 PN 10</t>
  </si>
  <si>
    <t xml:space="preserve">სამკაპი  </t>
  </si>
  <si>
    <t>გადამყვანი</t>
  </si>
  <si>
    <t>მუხლი</t>
  </si>
  <si>
    <t>ლითონის შემაერთებელი დეტალები</t>
  </si>
  <si>
    <t>ფოლადის მილი Ø 25 (33.5x3.2)  (მუხლი, ჯვარედი, სამკაპი, გადამყვანი, და აშ კომპლექტში)</t>
  </si>
  <si>
    <t xml:space="preserve">ფოლადის მილი 25მმ </t>
  </si>
  <si>
    <t xml:space="preserve">ფოლადის მილი 32მმ </t>
  </si>
  <si>
    <t>ფოლადის მილი Ø 32 (42.3x3.2)  (მუხლი, ჯვარედი, სამკაპი, გადამყვანი, და აშ კომპლექტში)</t>
  </si>
  <si>
    <t>ფოლადის მილი Ø 40 (48x3.5)  (მუხლი, ჯვარედი, სამკაპი, გადამყვანი, და აშ კომპლექტში)</t>
  </si>
  <si>
    <t>ფოლადის მილი Ø 50 (60x3.5)  (მუხლი, ჯვარედი, სამკაპი, გადამყვანი, და აშ კომპლექტში)</t>
  </si>
  <si>
    <t>ფოლადის მილი Ø 80 (88.5x4)  (მუხლი, ჯვარედი, სამკაპი, გადამყვანი, და აშ კომპლექტში)</t>
  </si>
  <si>
    <t>16-8-3</t>
  </si>
  <si>
    <t>ფოლადის მილი Ø 100 (114x4.5)  (მუხლი, ჯვარედი, სამკაპი, გადამყვანი, და აშ კომპლექტში)</t>
  </si>
  <si>
    <t>16-8-4</t>
  </si>
  <si>
    <t>ფოლადის მილი Ø 150 (165x5.5)  (მუხლი, ჯვარედი, სამკაპი, გადამყვანი, და აშ კომპლექტში)</t>
  </si>
  <si>
    <t>ფიტინგები</t>
  </si>
  <si>
    <t>16-3-1</t>
  </si>
  <si>
    <t>სპრინკლერების მოწყობა</t>
  </si>
  <si>
    <t>სახანძრო კარადა 25მ შლანგით</t>
  </si>
  <si>
    <t>სახელური</t>
  </si>
  <si>
    <t>სახელურის შემაერთებელი</t>
  </si>
  <si>
    <t>წყალმომარაგება-კანალიზაცია</t>
  </si>
  <si>
    <t>15-14-1</t>
  </si>
  <si>
    <t>კედლების მოპირკეთება კერამოგრანიტის ფილებით</t>
  </si>
  <si>
    <t xml:space="preserve">მეტალის კარების მონტაჟი  </t>
  </si>
  <si>
    <r>
      <t>კვამლგამწოვი ვენტილატორი 16500 მ3/სთ. 300 პა 400</t>
    </r>
    <r>
      <rPr>
        <sz val="10"/>
        <rFont val="Calibri"/>
        <family val="2"/>
      </rPr>
      <t>°c 120წთ</t>
    </r>
  </si>
  <si>
    <t>7-131</t>
  </si>
  <si>
    <t>სამშენებლო ნაწილი</t>
  </si>
  <si>
    <t xml:space="preserve">ხანძარქრობა </t>
  </si>
  <si>
    <t>11-20-3 (FCT-01-10) (FS-01)</t>
  </si>
  <si>
    <t xml:space="preserve"> ვიტრას კერამოგრანიტის ფილა </t>
  </si>
  <si>
    <t>სხვა</t>
  </si>
  <si>
    <t>ფალშ-იატაკის მოწყობა სასერვერო ოთახში</t>
  </si>
  <si>
    <t>ფალშ-იატაკი (სამონტაჟო ელემენტებით)</t>
  </si>
  <si>
    <t>შეკიდული ჭერის მოწყობა თაბაშირ-მუყაოს ფილებით ნომრებში</t>
  </si>
  <si>
    <t>ჭერის გაპრიალება კორიდორებში, ლობში, რესტორანში</t>
  </si>
  <si>
    <t>ლაქი</t>
  </si>
  <si>
    <t>წყალემუსიური საღებავი</t>
  </si>
  <si>
    <r>
      <t xml:space="preserve">satransformatoro qvesadguri </t>
    </r>
    <r>
      <rPr>
        <sz val="10"/>
        <color indexed="8"/>
        <rFont val="Arial"/>
        <family val="2"/>
        <charset val="204"/>
      </rPr>
      <t>1000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cadNusx"/>
      </rPr>
      <t>kva simZlavreze, maRali Zabvis Semomyvani da gamsvleli ujredebiT, dabali Zabvis ujredebiTa da reaqtiuli energiis kompesatoriT kompleqtSi.</t>
    </r>
  </si>
  <si>
    <r>
      <t xml:space="preserve">dizel-generatori </t>
    </r>
    <r>
      <rPr>
        <sz val="10"/>
        <rFont val="Arial"/>
        <family val="2"/>
        <charset val="204"/>
      </rPr>
      <t>1000</t>
    </r>
    <r>
      <rPr>
        <sz val="10"/>
        <rFont val="AcadNusx"/>
      </rPr>
      <t xml:space="preserve"> kva simZlavris, mayuCi kabiniT da avtomatikis blokiT</t>
    </r>
  </si>
  <si>
    <t>სასტუმრო მესტია სეტი - დასასრულებელი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</si>
</sst>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0.0"/>
    <numFmt numFmtId="167" formatCode="_(* #,##0.000_);_(* \(#,##0.000\);_(* &quot;-&quot;??_);_(@_)"/>
    <numFmt numFmtId="168" formatCode="0.0%"/>
    <numFmt numFmtId="169" formatCode="_([$$-409]* #,##0.00_);_([$$-409]* \(#,##0.00\);_([$$-409]* &quot;-&quot;??_);_(@_)"/>
    <numFmt numFmtId="170" formatCode="_-* #,##0.00_р_._-;\-* #,##0.00_р_._-;_-* &quot;-&quot;??_р_._-;_-@_-"/>
    <numFmt numFmtId="171" formatCode="[$$-409]#,##0.00"/>
    <numFmt numFmtId="172" formatCode="_-* #,##0.00&quot;р.&quot;_-;\-* #,##0.00&quot;р.&quot;_-;_-* &quot;-&quot;??&quot;р.&quot;_-;_-@_-"/>
    <numFmt numFmtId="173" formatCode="0.00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name val="Sylfaen"/>
      <family val="1"/>
      <charset val="204"/>
    </font>
    <font>
      <sz val="9"/>
      <name val="Arial"/>
      <family val="2"/>
    </font>
    <font>
      <b/>
      <sz val="11"/>
      <name val="Sylfaen"/>
      <family val="1"/>
    </font>
    <font>
      <b/>
      <sz val="11"/>
      <name val="AcadNusx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cadNusx"/>
    </font>
    <font>
      <sz val="11"/>
      <name val="Sylfaen"/>
      <family val="1"/>
    </font>
    <font>
      <sz val="12"/>
      <color theme="1"/>
      <name val="Calibri"/>
      <family val="2"/>
      <scheme val="minor"/>
    </font>
    <font>
      <b/>
      <sz val="9"/>
      <name val="Arial Cyr"/>
      <family val="2"/>
      <charset val="204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b/>
      <sz val="12"/>
      <name val="Sylfaen"/>
      <family val="1"/>
    </font>
    <font>
      <sz val="11"/>
      <name val="Calibri"/>
      <family val="2"/>
      <scheme val="minor"/>
    </font>
    <font>
      <b/>
      <u/>
      <sz val="10"/>
      <name val="AcadNusx"/>
    </font>
    <font>
      <b/>
      <u/>
      <sz val="10"/>
      <name val="Calibri"/>
      <family val="2"/>
      <charset val="204"/>
    </font>
    <font>
      <b/>
      <sz val="11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cadMtavr"/>
    </font>
    <font>
      <vertAlign val="superscript"/>
      <sz val="10"/>
      <name val="Sylfaen"/>
      <family val="1"/>
    </font>
    <font>
      <sz val="10"/>
      <color rgb="FFFF0000"/>
      <name val="Arial Cyr"/>
      <charset val="204"/>
    </font>
    <font>
      <b/>
      <sz val="16"/>
      <color theme="1"/>
      <name val="AcadMtavr"/>
    </font>
    <font>
      <b/>
      <sz val="12"/>
      <color theme="1"/>
      <name val="AcadMtavr"/>
    </font>
    <font>
      <b/>
      <sz val="10"/>
      <color theme="1"/>
      <name val="Arial"/>
      <family val="2"/>
      <charset val="204"/>
    </font>
    <font>
      <b/>
      <sz val="10"/>
      <color theme="1"/>
      <name val="AcadMtavr"/>
    </font>
    <font>
      <b/>
      <sz val="9"/>
      <name val="Arial"/>
      <family val="2"/>
    </font>
    <font>
      <sz val="10"/>
      <color theme="1"/>
      <name val="AcadMtav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cadNusx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9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indexed="8"/>
      <name val="AcadNusx"/>
    </font>
    <font>
      <sz val="10"/>
      <color indexed="8"/>
      <name val="Arial"/>
      <family val="2"/>
    </font>
    <font>
      <vertAlign val="superscript"/>
      <sz val="10"/>
      <color indexed="8"/>
      <name val="AcadNusx"/>
    </font>
    <font>
      <sz val="9"/>
      <name val="Arial Cyr"/>
      <charset val="204"/>
    </font>
    <font>
      <sz val="10"/>
      <name val="AcadNusx"/>
    </font>
    <font>
      <b/>
      <sz val="10"/>
      <color indexed="8"/>
      <name val="AcadNusx"/>
    </font>
    <font>
      <sz val="8"/>
      <color theme="1"/>
      <name val="Calibri"/>
      <family val="2"/>
      <scheme val="minor"/>
    </font>
    <font>
      <b/>
      <sz val="11"/>
      <name val="Arial Cyr"/>
    </font>
    <font>
      <b/>
      <sz val="10"/>
      <name val="Arial Cyr"/>
    </font>
    <font>
      <b/>
      <i/>
      <sz val="12"/>
      <name val="Arial"/>
      <family val="2"/>
    </font>
    <font>
      <b/>
      <i/>
      <sz val="11"/>
      <name val="AcadNusx"/>
    </font>
    <font>
      <i/>
      <sz val="11"/>
      <name val="Arial Cyr"/>
      <charset val="204"/>
    </font>
    <font>
      <b/>
      <i/>
      <sz val="12"/>
      <name val="Arial Cyr"/>
    </font>
    <font>
      <b/>
      <sz val="10"/>
      <name val="AcadMtavr"/>
    </font>
    <font>
      <vertAlign val="superscript"/>
      <sz val="10"/>
      <name val="AcadNusx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ZapfHumnst BT"/>
      <family val="2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</font>
    <font>
      <sz val="12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7" fillId="0" borderId="0"/>
    <xf numFmtId="0" fontId="20" fillId="0" borderId="0"/>
    <xf numFmtId="0" fontId="17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7" fillId="0" borderId="0">
      <alignment horizontal="left"/>
    </xf>
    <xf numFmtId="172" fontId="17" fillId="0" borderId="0" applyFont="0" applyFill="0" applyBorder="0" applyAlignment="0" applyProtection="0"/>
    <xf numFmtId="0" fontId="16" fillId="0" borderId="0"/>
    <xf numFmtId="0" fontId="69" fillId="0" borderId="0"/>
    <xf numFmtId="0" fontId="75" fillId="8" borderId="0" applyNumberFormat="0" applyBorder="0" applyAlignment="0" applyProtection="0"/>
  </cellStyleXfs>
  <cellXfs count="475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43" fontId="3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3" xfId="3" applyFont="1" applyBorder="1" applyAlignment="1">
      <alignment horizontal="center" vertical="center" wrapText="1"/>
    </xf>
    <xf numFmtId="2" fontId="8" fillId="0" borderId="13" xfId="3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7" xfId="3" applyNumberFormat="1" applyFont="1" applyFill="1" applyBorder="1" applyAlignment="1">
      <alignment horizontal="center"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1" fontId="8" fillId="2" borderId="17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15" xfId="0" applyFont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3" fontId="11" fillId="2" borderId="15" xfId="1" applyFont="1" applyFill="1" applyBorder="1" applyAlignment="1">
      <alignment horizontal="center" vertical="center"/>
    </xf>
    <xf numFmtId="43" fontId="11" fillId="2" borderId="15" xfId="2" applyNumberFormat="1" applyFont="1" applyFill="1" applyBorder="1" applyAlignment="1">
      <alignment horizontal="center" vertical="center"/>
    </xf>
    <xf numFmtId="43" fontId="11" fillId="2" borderId="15" xfId="2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43" fontId="13" fillId="2" borderId="15" xfId="1" applyFont="1" applyFill="1" applyBorder="1" applyAlignment="1">
      <alignment horizontal="center" vertical="center" wrapText="1"/>
    </xf>
    <xf numFmtId="43" fontId="13" fillId="2" borderId="15" xfId="2" applyNumberFormat="1" applyFont="1" applyFill="1" applyBorder="1" applyAlignment="1">
      <alignment horizontal="center" vertical="center" wrapText="1"/>
    </xf>
    <xf numFmtId="43" fontId="13" fillId="2" borderId="15" xfId="2" applyNumberFormat="1" applyFont="1" applyFill="1" applyBorder="1" applyAlignment="1">
      <alignment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43" fontId="3" fillId="2" borderId="16" xfId="2" applyNumberFormat="1" applyFont="1" applyFill="1" applyBorder="1" applyAlignment="1">
      <alignment horizontal="center" vertical="center" wrapText="1"/>
    </xf>
    <xf numFmtId="43" fontId="3" fillId="2" borderId="16" xfId="2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top" wrapText="1"/>
    </xf>
    <xf numFmtId="2" fontId="11" fillId="2" borderId="15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center" vertical="top" wrapText="1"/>
    </xf>
    <xf numFmtId="2" fontId="11" fillId="2" borderId="16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3" fontId="11" fillId="2" borderId="21" xfId="1" applyFont="1" applyFill="1" applyBorder="1" applyAlignment="1">
      <alignment horizontal="center" vertical="center"/>
    </xf>
    <xf numFmtId="43" fontId="11" fillId="2" borderId="21" xfId="2" applyNumberFormat="1" applyFont="1" applyFill="1" applyBorder="1" applyAlignment="1">
      <alignment horizontal="center" vertical="center"/>
    </xf>
    <xf numFmtId="43" fontId="11" fillId="2" borderId="21" xfId="2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 wrapText="1"/>
    </xf>
    <xf numFmtId="0" fontId="18" fillId="2" borderId="15" xfId="4" applyFont="1" applyFill="1" applyBorder="1" applyAlignment="1">
      <alignment horizontal="center" vertical="center" wrapText="1"/>
    </xf>
    <xf numFmtId="0" fontId="11" fillId="2" borderId="15" xfId="4" applyFont="1" applyFill="1" applyBorder="1" applyAlignment="1">
      <alignment horizontal="center" vertical="center" wrapText="1"/>
    </xf>
    <xf numFmtId="4" fontId="11" fillId="2" borderId="15" xfId="4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 wrapText="1"/>
    </xf>
    <xf numFmtId="165" fontId="11" fillId="2" borderId="15" xfId="4" applyNumberFormat="1" applyFont="1" applyFill="1" applyBorder="1" applyAlignment="1">
      <alignment horizontal="center" vertical="center"/>
    </xf>
    <xf numFmtId="166" fontId="11" fillId="2" borderId="15" xfId="0" applyNumberFormat="1" applyFont="1" applyFill="1" applyBorder="1" applyAlignment="1">
      <alignment horizontal="center" vertical="top" wrapText="1"/>
    </xf>
    <xf numFmtId="0" fontId="11" fillId="2" borderId="15" xfId="4" applyFont="1" applyFill="1" applyBorder="1" applyAlignment="1">
      <alignment horizontal="left" vertical="center" wrapText="1"/>
    </xf>
    <xf numFmtId="166" fontId="11" fillId="2" borderId="15" xfId="0" applyNumberFormat="1" applyFont="1" applyFill="1" applyBorder="1" applyAlignment="1">
      <alignment horizontal="center" vertical="center" wrapText="1"/>
    </xf>
    <xf numFmtId="164" fontId="11" fillId="2" borderId="15" xfId="4" applyNumberFormat="1" applyFont="1" applyFill="1" applyBorder="1" applyAlignment="1">
      <alignment horizontal="center" vertical="center"/>
    </xf>
    <xf numFmtId="0" fontId="10" fillId="2" borderId="23" xfId="0" quotePrefix="1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15" xfId="0" applyFont="1" applyFill="1" applyBorder="1" applyAlignment="1">
      <alignment horizontal="center" vertical="center" wrapText="1"/>
    </xf>
    <xf numFmtId="0" fontId="19" fillId="2" borderId="15" xfId="0" quotePrefix="1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center" vertical="top" wrapText="1"/>
    </xf>
    <xf numFmtId="2" fontId="19" fillId="2" borderId="15" xfId="0" applyNumberFormat="1" applyFont="1" applyFill="1" applyBorder="1" applyAlignment="1">
      <alignment horizontal="center" vertical="top" wrapText="1"/>
    </xf>
    <xf numFmtId="0" fontId="19" fillId="2" borderId="15" xfId="0" quotePrefix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1" fillId="2" borderId="15" xfId="0" quotePrefix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left" vertical="top" wrapText="1"/>
    </xf>
    <xf numFmtId="2" fontId="11" fillId="2" borderId="15" xfId="1" applyNumberFormat="1" applyFont="1" applyFill="1" applyBorder="1" applyAlignment="1">
      <alignment horizontal="center" vertical="center"/>
    </xf>
    <xf numFmtId="2" fontId="11" fillId="2" borderId="21" xfId="1" applyNumberFormat="1" applyFont="1" applyFill="1" applyBorder="1" applyAlignment="1">
      <alignment horizontal="center" vertical="center"/>
    </xf>
    <xf numFmtId="2" fontId="11" fillId="2" borderId="15" xfId="2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168" fontId="3" fillId="0" borderId="21" xfId="0" applyNumberFormat="1" applyFont="1" applyBorder="1" applyAlignment="1">
      <alignment horizontal="center" vertical="center" wrapText="1"/>
    </xf>
    <xf numFmtId="167" fontId="3" fillId="0" borderId="21" xfId="1" applyNumberFormat="1" applyFont="1" applyBorder="1" applyAlignment="1">
      <alignment horizontal="right" vertical="center" wrapText="1"/>
    </xf>
    <xf numFmtId="43" fontId="3" fillId="0" borderId="21" xfId="1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7" fontId="3" fillId="0" borderId="15" xfId="1" applyNumberFormat="1" applyFont="1" applyBorder="1" applyAlignment="1">
      <alignment horizontal="right" vertical="center" wrapText="1"/>
    </xf>
    <xf numFmtId="43" fontId="3" fillId="0" borderId="15" xfId="1" applyFont="1" applyBorder="1" applyAlignment="1">
      <alignment vertical="center" wrapText="1"/>
    </xf>
    <xf numFmtId="2" fontId="3" fillId="0" borderId="15" xfId="1" applyNumberFormat="1" applyFont="1" applyBorder="1" applyAlignment="1">
      <alignment vertical="center" wrapText="1"/>
    </xf>
    <xf numFmtId="43" fontId="3" fillId="0" borderId="18" xfId="2" applyNumberFormat="1" applyFont="1" applyBorder="1" applyAlignment="1">
      <alignment horizontal="center" vertical="center" wrapText="1"/>
    </xf>
    <xf numFmtId="2" fontId="3" fillId="0" borderId="15" xfId="5" applyNumberFormat="1" applyFont="1" applyBorder="1" applyAlignment="1" applyProtection="1">
      <alignment vertical="center" wrapText="1"/>
      <protection locked="0"/>
    </xf>
    <xf numFmtId="9" fontId="3" fillId="0" borderId="15" xfId="0" applyNumberFormat="1" applyFont="1" applyBorder="1" applyAlignment="1">
      <alignment horizontal="center" vertical="center" wrapText="1"/>
    </xf>
    <xf numFmtId="43" fontId="3" fillId="0" borderId="16" xfId="1" applyFont="1" applyBorder="1" applyAlignment="1">
      <alignment vertical="center" wrapText="1"/>
    </xf>
    <xf numFmtId="2" fontId="3" fillId="0" borderId="16" xfId="1" applyNumberFormat="1" applyFont="1" applyBorder="1" applyAlignment="1">
      <alignment vertical="center" wrapText="1"/>
    </xf>
    <xf numFmtId="43" fontId="3" fillId="0" borderId="10" xfId="2" applyNumberFormat="1" applyFont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169" fontId="0" fillId="0" borderId="0" xfId="0" applyNumberFormat="1"/>
    <xf numFmtId="4" fontId="0" fillId="0" borderId="0" xfId="0" applyNumberFormat="1"/>
    <xf numFmtId="0" fontId="11" fillId="2" borderId="15" xfId="0" applyFont="1" applyFill="1" applyBorder="1" applyAlignment="1">
      <alignment horizontal="center" vertical="center" wrapText="1"/>
    </xf>
    <xf numFmtId="0" fontId="21" fillId="0" borderId="15" xfId="0" quotePrefix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0" fontId="25" fillId="0" borderId="0" xfId="0" applyFont="1"/>
    <xf numFmtId="0" fontId="23" fillId="0" borderId="21" xfId="0" applyFont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0" fontId="25" fillId="0" borderId="15" xfId="0" applyFont="1" applyBorder="1"/>
    <xf numFmtId="0" fontId="23" fillId="0" borderId="16" xfId="0" applyFont="1" applyBorder="1" applyAlignment="1">
      <alignment horizontal="center" vertical="center"/>
    </xf>
    <xf numFmtId="0" fontId="4" fillId="0" borderId="0" xfId="0" applyFont="1"/>
    <xf numFmtId="43" fontId="13" fillId="2" borderId="16" xfId="1" applyFont="1" applyFill="1" applyBorder="1" applyAlignment="1">
      <alignment horizontal="center" vertical="center" wrapText="1"/>
    </xf>
    <xf numFmtId="43" fontId="13" fillId="2" borderId="16" xfId="2" applyNumberFormat="1" applyFont="1" applyFill="1" applyBorder="1" applyAlignment="1">
      <alignment horizontal="center" vertical="center" wrapText="1"/>
    </xf>
    <xf numFmtId="43" fontId="13" fillId="2" borderId="16" xfId="2" applyNumberFormat="1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/>
    </xf>
    <xf numFmtId="2" fontId="14" fillId="2" borderId="15" xfId="0" applyNumberFormat="1" applyFont="1" applyFill="1" applyBorder="1" applyAlignment="1">
      <alignment vertical="center"/>
    </xf>
    <xf numFmtId="49" fontId="19" fillId="2" borderId="15" xfId="0" quotePrefix="1" applyNumberFormat="1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vertical="center" wrapText="1"/>
    </xf>
    <xf numFmtId="0" fontId="25" fillId="0" borderId="15" xfId="0" applyFont="1" applyBorder="1" applyAlignment="1"/>
    <xf numFmtId="0" fontId="25" fillId="0" borderId="15" xfId="0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8" fillId="2" borderId="0" xfId="4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0" fillId="2" borderId="23" xfId="0" quotePrefix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2" fontId="14" fillId="2" borderId="8" xfId="0" applyNumberFormat="1" applyFont="1" applyFill="1" applyBorder="1" applyAlignment="1">
      <alignment vertical="center"/>
    </xf>
    <xf numFmtId="0" fontId="11" fillId="2" borderId="20" xfId="0" applyFont="1" applyFill="1" applyBorder="1"/>
    <xf numFmtId="2" fontId="19" fillId="2" borderId="8" xfId="0" applyNumberFormat="1" applyFont="1" applyFill="1" applyBorder="1" applyAlignment="1">
      <alignment horizontal="center" vertical="top" wrapText="1"/>
    </xf>
    <xf numFmtId="0" fontId="25" fillId="0" borderId="20" xfId="0" applyFont="1" applyBorder="1"/>
    <xf numFmtId="2" fontId="19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2" fontId="11" fillId="2" borderId="24" xfId="0" applyNumberFormat="1" applyFont="1" applyFill="1" applyBorder="1" applyAlignment="1">
      <alignment horizontal="center" vertical="top" wrapText="1"/>
    </xf>
    <xf numFmtId="2" fontId="11" fillId="2" borderId="26" xfId="0" applyNumberFormat="1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43" fontId="11" fillId="2" borderId="16" xfId="2" applyNumberFormat="1" applyFont="1" applyFill="1" applyBorder="1" applyAlignment="1">
      <alignment horizontal="center" vertical="center"/>
    </xf>
    <xf numFmtId="166" fontId="11" fillId="2" borderId="26" xfId="0" applyNumberFormat="1" applyFont="1" applyFill="1" applyBorder="1" applyAlignment="1">
      <alignment horizontal="center" vertical="top" wrapText="1"/>
    </xf>
    <xf numFmtId="4" fontId="11" fillId="2" borderId="26" xfId="4" applyNumberFormat="1" applyFont="1" applyFill="1" applyBorder="1" applyAlignment="1">
      <alignment horizontal="center" vertical="center"/>
    </xf>
    <xf numFmtId="164" fontId="11" fillId="2" borderId="26" xfId="4" applyNumberFormat="1" applyFont="1" applyFill="1" applyBorder="1" applyAlignment="1">
      <alignment horizontal="center" vertical="center"/>
    </xf>
    <xf numFmtId="0" fontId="11" fillId="2" borderId="26" xfId="4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8" fillId="2" borderId="16" xfId="4" applyFont="1" applyFill="1" applyBorder="1" applyAlignment="1">
      <alignment horizontal="center" vertical="center" wrapText="1"/>
    </xf>
    <xf numFmtId="0" fontId="15" fillId="3" borderId="26" xfId="4" applyFont="1" applyFill="1" applyBorder="1" applyAlignment="1">
      <alignment horizontal="center" vertical="center" wrapText="1"/>
    </xf>
    <xf numFmtId="43" fontId="3" fillId="0" borderId="27" xfId="2" applyNumberFormat="1" applyFont="1" applyBorder="1" applyAlignment="1">
      <alignment horizontal="center" vertical="center" wrapText="1"/>
    </xf>
    <xf numFmtId="43" fontId="3" fillId="0" borderId="25" xfId="1" applyFont="1" applyBorder="1" applyAlignment="1">
      <alignment vertical="center" wrapText="1"/>
    </xf>
    <xf numFmtId="2" fontId="3" fillId="0" borderId="25" xfId="1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32" xfId="0" applyBorder="1"/>
    <xf numFmtId="43" fontId="3" fillId="0" borderId="26" xfId="1" applyFont="1" applyBorder="1" applyAlignment="1">
      <alignment vertical="center" wrapText="1"/>
    </xf>
    <xf numFmtId="2" fontId="0" fillId="0" borderId="32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167" fontId="3" fillId="0" borderId="26" xfId="1" applyNumberFormat="1" applyFont="1" applyBorder="1" applyAlignment="1">
      <alignment horizontal="right" vertical="center" wrapText="1"/>
    </xf>
    <xf numFmtId="0" fontId="23" fillId="4" borderId="7" xfId="0" applyFont="1" applyFill="1" applyBorder="1" applyAlignment="1">
      <alignment horizontal="center" vertical="center"/>
    </xf>
    <xf numFmtId="49" fontId="4" fillId="4" borderId="29" xfId="0" applyNumberFormat="1" applyFont="1" applyFill="1" applyBorder="1" applyAlignment="1">
      <alignment vertical="center"/>
    </xf>
    <xf numFmtId="0" fontId="8" fillId="4" borderId="29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167" fontId="3" fillId="4" borderId="29" xfId="1" applyNumberFormat="1" applyFont="1" applyFill="1" applyBorder="1" applyAlignment="1">
      <alignment horizontal="right" vertical="center" wrapText="1"/>
    </xf>
    <xf numFmtId="44" fontId="8" fillId="4" borderId="29" xfId="2" applyFont="1" applyFill="1" applyBorder="1" applyAlignment="1">
      <alignment vertical="center" wrapText="1"/>
    </xf>
    <xf numFmtId="2" fontId="8" fillId="4" borderId="7" xfId="2" applyNumberFormat="1" applyFont="1" applyFill="1" applyBorder="1" applyAlignment="1">
      <alignment vertical="center" wrapText="1"/>
    </xf>
    <xf numFmtId="43" fontId="8" fillId="4" borderId="28" xfId="2" applyNumberFormat="1" applyFont="1" applyFill="1" applyBorder="1" applyAlignment="1">
      <alignment horizontal="center" vertical="center"/>
    </xf>
    <xf numFmtId="43" fontId="8" fillId="4" borderId="29" xfId="2" applyNumberFormat="1" applyFont="1" applyFill="1" applyBorder="1" applyAlignment="1">
      <alignment vertical="center" wrapText="1"/>
    </xf>
    <xf numFmtId="43" fontId="8" fillId="4" borderId="7" xfId="2" applyNumberFormat="1" applyFont="1" applyFill="1" applyBorder="1" applyAlignment="1">
      <alignment horizontal="center" vertical="center"/>
    </xf>
    <xf numFmtId="43" fontId="8" fillId="4" borderId="31" xfId="2" applyNumberFormat="1" applyFont="1" applyFill="1" applyBorder="1" applyAlignment="1">
      <alignment horizontal="center" vertical="center"/>
    </xf>
    <xf numFmtId="43" fontId="8" fillId="4" borderId="30" xfId="2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49" fontId="4" fillId="5" borderId="34" xfId="0" applyNumberFormat="1" applyFont="1" applyFill="1" applyBorder="1" applyAlignment="1">
      <alignment vertical="center"/>
    </xf>
    <xf numFmtId="0" fontId="8" fillId="5" borderId="3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167" fontId="3" fillId="5" borderId="7" xfId="1" applyNumberFormat="1" applyFont="1" applyFill="1" applyBorder="1" applyAlignment="1">
      <alignment horizontal="right" vertical="center" wrapText="1"/>
    </xf>
    <xf numFmtId="43" fontId="8" fillId="5" borderId="29" xfId="1" applyFont="1" applyFill="1" applyBorder="1" applyAlignment="1">
      <alignment vertical="center" wrapText="1"/>
    </xf>
    <xf numFmtId="2" fontId="8" fillId="5" borderId="29" xfId="1" applyNumberFormat="1" applyFont="1" applyFill="1" applyBorder="1" applyAlignment="1">
      <alignment vertical="center" wrapText="1"/>
    </xf>
    <xf numFmtId="43" fontId="8" fillId="5" borderId="7" xfId="1" applyFont="1" applyFill="1" applyBorder="1" applyAlignment="1">
      <alignment vertical="center" wrapText="1"/>
    </xf>
    <xf numFmtId="43" fontId="8" fillId="5" borderId="34" xfId="1" applyFont="1" applyFill="1" applyBorder="1" applyAlignment="1">
      <alignment vertical="center" wrapText="1"/>
    </xf>
    <xf numFmtId="43" fontId="8" fillId="5" borderId="33" xfId="1" applyFont="1" applyFill="1" applyBorder="1" applyAlignment="1">
      <alignment vertical="center" wrapText="1"/>
    </xf>
    <xf numFmtId="43" fontId="8" fillId="5" borderId="35" xfId="2" applyNumberFormat="1" applyFont="1" applyFill="1" applyBorder="1" applyAlignment="1">
      <alignment horizontal="center" vertical="center" wrapText="1"/>
    </xf>
    <xf numFmtId="4" fontId="10" fillId="2" borderId="36" xfId="0" applyNumberFormat="1" applyFont="1" applyFill="1" applyBorder="1" applyAlignment="1">
      <alignment horizontal="center" vertical="center"/>
    </xf>
    <xf numFmtId="0" fontId="15" fillId="3" borderId="16" xfId="4" applyFont="1" applyFill="1" applyBorder="1" applyAlignment="1">
      <alignment horizontal="center" vertical="center" wrapText="1"/>
    </xf>
    <xf numFmtId="0" fontId="11" fillId="2" borderId="16" xfId="4" applyFont="1" applyFill="1" applyBorder="1" applyAlignment="1">
      <alignment horizontal="center" vertical="center" wrapText="1"/>
    </xf>
    <xf numFmtId="164" fontId="11" fillId="2" borderId="16" xfId="4" applyNumberFormat="1" applyFont="1" applyFill="1" applyBorder="1" applyAlignment="1">
      <alignment horizontal="center" vertical="center"/>
    </xf>
    <xf numFmtId="4" fontId="11" fillId="2" borderId="16" xfId="4" applyNumberFormat="1" applyFont="1" applyFill="1" applyBorder="1" applyAlignment="1">
      <alignment horizontal="center" vertical="center"/>
    </xf>
    <xf numFmtId="166" fontId="11" fillId="2" borderId="16" xfId="0" applyNumberFormat="1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3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3"/>
    <xf numFmtId="0" fontId="19" fillId="0" borderId="15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49" fontId="11" fillId="0" borderId="15" xfId="3" applyNumberFormat="1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166" fontId="11" fillId="0" borderId="15" xfId="3" applyNumberFormat="1" applyFont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 vertical="center" wrapText="1"/>
    </xf>
    <xf numFmtId="0" fontId="10" fillId="6" borderId="15" xfId="3" applyFont="1" applyFill="1" applyBorder="1" applyAlignment="1">
      <alignment horizontal="center" vertical="center" wrapText="1"/>
    </xf>
    <xf numFmtId="9" fontId="10" fillId="0" borderId="15" xfId="3" applyNumberFormat="1" applyFont="1" applyBorder="1" applyAlignment="1">
      <alignment horizontal="center" vertical="center" wrapText="1"/>
    </xf>
    <xf numFmtId="1" fontId="11" fillId="0" borderId="15" xfId="3" applyNumberFormat="1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49" fontId="11" fillId="0" borderId="16" xfId="3" applyNumberFormat="1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1" fontId="11" fillId="0" borderId="16" xfId="3" applyNumberFormat="1" applyFont="1" applyBorder="1" applyAlignment="1">
      <alignment horizontal="center" vertical="center" wrapText="1"/>
    </xf>
    <xf numFmtId="0" fontId="14" fillId="5" borderId="38" xfId="3" applyFont="1" applyFill="1" applyBorder="1" applyAlignment="1">
      <alignment horizontal="center" vertical="center" wrapText="1"/>
    </xf>
    <xf numFmtId="49" fontId="14" fillId="5" borderId="38" xfId="3" applyNumberFormat="1" applyFont="1" applyFill="1" applyBorder="1" applyAlignment="1">
      <alignment horizontal="center" vertical="center" wrapText="1"/>
    </xf>
    <xf numFmtId="0" fontId="30" fillId="5" borderId="38" xfId="3" applyFont="1" applyFill="1" applyBorder="1" applyAlignment="1">
      <alignment horizontal="center" vertical="center" wrapText="1"/>
    </xf>
    <xf numFmtId="168" fontId="30" fillId="5" borderId="38" xfId="3" applyNumberFormat="1" applyFont="1" applyFill="1" applyBorder="1" applyAlignment="1">
      <alignment horizontal="center" vertical="center" wrapText="1"/>
    </xf>
    <xf numFmtId="1" fontId="14" fillId="5" borderId="38" xfId="3" applyNumberFormat="1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31" fillId="0" borderId="0" xfId="3" applyFont="1"/>
    <xf numFmtId="0" fontId="10" fillId="0" borderId="38" xfId="3" applyFont="1" applyBorder="1" applyAlignment="1">
      <alignment horizontal="center" vertical="center" wrapText="1"/>
    </xf>
    <xf numFmtId="49" fontId="11" fillId="0" borderId="38" xfId="3" applyNumberFormat="1" applyFont="1" applyBorder="1" applyAlignment="1">
      <alignment horizontal="center" vertical="center" wrapText="1"/>
    </xf>
    <xf numFmtId="0" fontId="3" fillId="0" borderId="38" xfId="3" applyBorder="1" applyAlignment="1">
      <alignment horizontal="center" vertical="center" wrapText="1"/>
    </xf>
    <xf numFmtId="168" fontId="3" fillId="0" borderId="38" xfId="3" applyNumberForma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1" fontId="11" fillId="0" borderId="38" xfId="3" applyNumberFormat="1" applyFont="1" applyBorder="1" applyAlignment="1">
      <alignment horizontal="center" vertical="center" wrapText="1"/>
    </xf>
    <xf numFmtId="1" fontId="14" fillId="0" borderId="38" xfId="3" applyNumberFormat="1" applyFont="1" applyBorder="1" applyAlignment="1">
      <alignment horizontal="center" vertical="center" wrapText="1"/>
    </xf>
    <xf numFmtId="2" fontId="3" fillId="0" borderId="38" xfId="5" applyNumberFormat="1" applyFont="1" applyBorder="1" applyAlignment="1" applyProtection="1">
      <alignment horizontal="center" vertical="center" wrapText="1"/>
      <protection locked="0"/>
    </xf>
    <xf numFmtId="9" fontId="3" fillId="0" borderId="38" xfId="3" applyNumberFormat="1" applyBorder="1" applyAlignment="1">
      <alignment horizontal="center" vertical="center" wrapText="1"/>
    </xf>
    <xf numFmtId="0" fontId="10" fillId="5" borderId="38" xfId="3" applyFont="1" applyFill="1" applyBorder="1" applyAlignment="1">
      <alignment horizontal="center" vertical="center" wrapText="1"/>
    </xf>
    <xf numFmtId="49" fontId="11" fillId="5" borderId="38" xfId="3" applyNumberFormat="1" applyFont="1" applyFill="1" applyBorder="1" applyAlignment="1">
      <alignment horizontal="center" vertical="center" wrapText="1"/>
    </xf>
    <xf numFmtId="0" fontId="11" fillId="5" borderId="38" xfId="3" applyFont="1" applyFill="1" applyBorder="1" applyAlignment="1">
      <alignment horizontal="center" vertical="center" wrapText="1"/>
    </xf>
    <xf numFmtId="1" fontId="11" fillId="5" borderId="38" xfId="3" applyNumberFormat="1" applyFont="1" applyFill="1" applyBorder="1" applyAlignment="1">
      <alignment horizontal="center" vertical="center" wrapText="1"/>
    </xf>
    <xf numFmtId="0" fontId="8" fillId="0" borderId="0" xfId="3" applyFont="1"/>
    <xf numFmtId="49" fontId="3" fillId="0" borderId="0" xfId="3" applyNumberFormat="1"/>
    <xf numFmtId="1" fontId="32" fillId="0" borderId="15" xfId="3" applyNumberFormat="1" applyFont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49" fontId="11" fillId="2" borderId="15" xfId="3" applyNumberFormat="1" applyFont="1" applyFill="1" applyBorder="1" applyAlignment="1">
      <alignment horizontal="center" vertical="center" wrapText="1"/>
    </xf>
    <xf numFmtId="0" fontId="11" fillId="2" borderId="15" xfId="3" applyFont="1" applyFill="1" applyBorder="1" applyAlignment="1">
      <alignment horizontal="center" vertical="center" wrapText="1"/>
    </xf>
    <xf numFmtId="166" fontId="11" fillId="2" borderId="15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 wrapText="1"/>
    </xf>
    <xf numFmtId="1" fontId="11" fillId="0" borderId="0" xfId="3" applyNumberFormat="1" applyFont="1" applyAlignment="1">
      <alignment horizontal="center" vertical="center" wrapText="1"/>
    </xf>
    <xf numFmtId="0" fontId="17" fillId="0" borderId="0" xfId="6" applyAlignment="1">
      <alignment vertical="top"/>
    </xf>
    <xf numFmtId="0" fontId="34" fillId="0" borderId="0" xfId="6" applyFont="1" applyAlignment="1">
      <alignment vertical="top"/>
    </xf>
    <xf numFmtId="3" fontId="34" fillId="0" borderId="0" xfId="6" applyNumberFormat="1" applyFont="1" applyAlignment="1">
      <alignment vertical="center"/>
    </xf>
    <xf numFmtId="0" fontId="34" fillId="0" borderId="0" xfId="6" applyFont="1" applyAlignment="1">
      <alignment vertical="center"/>
    </xf>
    <xf numFmtId="0" fontId="17" fillId="0" borderId="0" xfId="6" applyAlignment="1">
      <alignment horizontal="left" vertical="center"/>
    </xf>
    <xf numFmtId="0" fontId="35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36" fillId="0" borderId="0" xfId="6" applyFont="1"/>
    <xf numFmtId="0" fontId="36" fillId="0" borderId="0" xfId="6" applyFont="1" applyAlignment="1">
      <alignment vertical="center"/>
    </xf>
    <xf numFmtId="2" fontId="8" fillId="0" borderId="42" xfId="6" applyNumberFormat="1" applyFont="1" applyBorder="1" applyAlignment="1">
      <alignment horizontal="center" vertical="center" wrapText="1"/>
    </xf>
    <xf numFmtId="1" fontId="8" fillId="0" borderId="13" xfId="6" applyNumberFormat="1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2" fontId="8" fillId="0" borderId="13" xfId="6" applyNumberFormat="1" applyFont="1" applyBorder="1" applyAlignment="1">
      <alignment horizontal="center" vertical="center" wrapText="1"/>
    </xf>
    <xf numFmtId="0" fontId="39" fillId="0" borderId="13" xfId="6" applyFont="1" applyBorder="1" applyAlignment="1">
      <alignment horizontal="center" vertical="center" wrapText="1"/>
    </xf>
    <xf numFmtId="2" fontId="39" fillId="0" borderId="13" xfId="6" applyNumberFormat="1" applyFont="1" applyBorder="1" applyAlignment="1">
      <alignment horizontal="center" vertical="center" wrapText="1"/>
    </xf>
    <xf numFmtId="0" fontId="38" fillId="0" borderId="15" xfId="7" applyFont="1" applyBorder="1" applyAlignment="1">
      <alignment vertical="center"/>
    </xf>
    <xf numFmtId="0" fontId="40" fillId="0" borderId="15" xfId="7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0" fontId="40" fillId="0" borderId="0" xfId="7" applyFont="1" applyAlignment="1">
      <alignment vertical="center"/>
    </xf>
    <xf numFmtId="0" fontId="41" fillId="0" borderId="0" xfId="6" applyFont="1" applyAlignment="1">
      <alignment vertical="top"/>
    </xf>
    <xf numFmtId="0" fontId="42" fillId="0" borderId="15" xfId="6" applyFont="1" applyBorder="1" applyAlignment="1">
      <alignment horizontal="center" vertical="center"/>
    </xf>
    <xf numFmtId="0" fontId="43" fillId="0" borderId="8" xfId="8" applyFont="1" applyBorder="1" applyAlignment="1">
      <alignment horizontal="left" vertical="center" wrapText="1"/>
    </xf>
    <xf numFmtId="1" fontId="45" fillId="0" borderId="15" xfId="7" applyNumberFormat="1" applyFont="1" applyBorder="1" applyAlignment="1">
      <alignment horizontal="center" vertical="center"/>
    </xf>
    <xf numFmtId="0" fontId="43" fillId="0" borderId="15" xfId="6" applyFont="1" applyBorder="1" applyAlignment="1">
      <alignment horizontal="center" vertical="center"/>
    </xf>
    <xf numFmtId="43" fontId="46" fillId="0" borderId="15" xfId="9" applyFont="1" applyBorder="1" applyAlignment="1">
      <alignment vertical="center"/>
    </xf>
    <xf numFmtId="170" fontId="0" fillId="0" borderId="15" xfId="10" applyFont="1" applyBorder="1" applyAlignment="1">
      <alignment vertical="center"/>
    </xf>
    <xf numFmtId="0" fontId="41" fillId="0" borderId="0" xfId="6" applyFont="1" applyAlignment="1">
      <alignment vertical="center"/>
    </xf>
    <xf numFmtId="0" fontId="38" fillId="0" borderId="8" xfId="7" applyFont="1" applyBorder="1" applyAlignment="1">
      <alignment vertical="center"/>
    </xf>
    <xf numFmtId="0" fontId="40" fillId="0" borderId="37" xfId="7" applyFont="1" applyBorder="1" applyAlignment="1">
      <alignment vertical="center"/>
    </xf>
    <xf numFmtId="0" fontId="40" fillId="0" borderId="9" xfId="7" applyFont="1" applyBorder="1" applyAlignment="1">
      <alignment vertical="center"/>
    </xf>
    <xf numFmtId="44" fontId="17" fillId="0" borderId="15" xfId="6" applyNumberFormat="1" applyBorder="1" applyAlignment="1">
      <alignment vertical="center"/>
    </xf>
    <xf numFmtId="44" fontId="17" fillId="2" borderId="15" xfId="6" applyNumberFormat="1" applyFill="1" applyBorder="1" applyAlignment="1">
      <alignment horizontal="center" vertical="center"/>
    </xf>
    <xf numFmtId="0" fontId="42" fillId="0" borderId="8" xfId="6" applyFont="1" applyBorder="1" applyAlignment="1">
      <alignment vertical="center" wrapText="1"/>
    </xf>
    <xf numFmtId="0" fontId="51" fillId="2" borderId="15" xfId="6" applyFont="1" applyFill="1" applyBorder="1" applyAlignment="1">
      <alignment horizontal="left" vertical="center"/>
    </xf>
    <xf numFmtId="0" fontId="12" fillId="0" borderId="15" xfId="10" applyNumberFormat="1" applyFont="1" applyFill="1" applyBorder="1" applyAlignment="1">
      <alignment horizontal="center" vertical="center"/>
    </xf>
    <xf numFmtId="0" fontId="17" fillId="0" borderId="15" xfId="6" applyBorder="1" applyAlignment="1">
      <alignment horizontal="center" vertical="center"/>
    </xf>
    <xf numFmtId="0" fontId="16" fillId="0" borderId="15" xfId="7" applyBorder="1" applyAlignment="1">
      <alignment horizontal="center" vertical="center"/>
    </xf>
    <xf numFmtId="0" fontId="52" fillId="0" borderId="15" xfId="6" applyFont="1" applyBorder="1" applyAlignment="1">
      <alignment vertical="center" wrapText="1"/>
    </xf>
    <xf numFmtId="1" fontId="3" fillId="0" borderId="15" xfId="7" applyNumberFormat="1" applyFont="1" applyBorder="1" applyAlignment="1">
      <alignment horizontal="center" vertical="center"/>
    </xf>
    <xf numFmtId="0" fontId="52" fillId="0" borderId="15" xfId="7" applyFont="1" applyBorder="1" applyAlignment="1">
      <alignment horizontal="center" vertical="center"/>
    </xf>
    <xf numFmtId="0" fontId="54" fillId="2" borderId="0" xfId="6" applyFont="1" applyFill="1" applyAlignment="1">
      <alignment horizontal="center" vertical="center"/>
    </xf>
    <xf numFmtId="0" fontId="17" fillId="2" borderId="0" xfId="6" applyFill="1"/>
    <xf numFmtId="1" fontId="5" fillId="2" borderId="0" xfId="6" applyNumberFormat="1" applyFont="1" applyFill="1" applyAlignment="1">
      <alignment horizontal="center" vertical="center"/>
    </xf>
    <xf numFmtId="2" fontId="10" fillId="2" borderId="0" xfId="6" applyNumberFormat="1" applyFont="1" applyFill="1" applyAlignment="1">
      <alignment horizontal="center" vertical="center"/>
    </xf>
    <xf numFmtId="0" fontId="17" fillId="2" borderId="0" xfId="6" applyFill="1" applyAlignment="1">
      <alignment vertical="center"/>
    </xf>
    <xf numFmtId="0" fontId="3" fillId="7" borderId="15" xfId="6" applyFont="1" applyFill="1" applyBorder="1" applyAlignment="1">
      <alignment horizontal="left" vertical="top" wrapText="1"/>
    </xf>
    <xf numFmtId="0" fontId="52" fillId="7" borderId="15" xfId="6" applyFont="1" applyFill="1" applyBorder="1" applyAlignment="1">
      <alignment horizontal="center" vertical="center" wrapText="1"/>
    </xf>
    <xf numFmtId="2" fontId="17" fillId="7" borderId="15" xfId="6" applyNumberFormat="1" applyFill="1" applyBorder="1" applyAlignment="1">
      <alignment vertical="center"/>
    </xf>
    <xf numFmtId="0" fontId="8" fillId="0" borderId="15" xfId="6" applyFont="1" applyBorder="1" applyAlignment="1">
      <alignment horizontal="left" vertical="center" wrapText="1"/>
    </xf>
    <xf numFmtId="9" fontId="18" fillId="0" borderId="15" xfId="6" applyNumberFormat="1" applyFont="1" applyBorder="1" applyAlignment="1">
      <alignment horizontal="center" vertical="center" wrapText="1"/>
    </xf>
    <xf numFmtId="2" fontId="17" fillId="0" borderId="15" xfId="6" applyNumberFormat="1" applyBorder="1" applyAlignment="1">
      <alignment vertical="center"/>
    </xf>
    <xf numFmtId="171" fontId="17" fillId="0" borderId="15" xfId="6" applyNumberFormat="1" applyBorder="1" applyAlignment="1">
      <alignment vertical="center"/>
    </xf>
    <xf numFmtId="0" fontId="3" fillId="7" borderId="15" xfId="6" applyFont="1" applyFill="1" applyBorder="1" applyAlignment="1">
      <alignment horizontal="left" vertical="center" wrapText="1"/>
    </xf>
    <xf numFmtId="0" fontId="18" fillId="7" borderId="15" xfId="6" applyFont="1" applyFill="1" applyBorder="1" applyAlignment="1">
      <alignment horizontal="center" vertical="center" wrapText="1"/>
    </xf>
    <xf numFmtId="171" fontId="17" fillId="7" borderId="15" xfId="6" applyNumberFormat="1" applyFill="1" applyBorder="1" applyAlignment="1">
      <alignment vertical="center"/>
    </xf>
    <xf numFmtId="0" fontId="8" fillId="0" borderId="16" xfId="6" applyFont="1" applyBorder="1" applyAlignment="1">
      <alignment horizontal="left" vertical="center" wrapText="1"/>
    </xf>
    <xf numFmtId="9" fontId="18" fillId="0" borderId="16" xfId="6" applyNumberFormat="1" applyFont="1" applyBorder="1" applyAlignment="1">
      <alignment horizontal="center" vertical="center" wrapText="1"/>
    </xf>
    <xf numFmtId="2" fontId="17" fillId="0" borderId="16" xfId="6" applyNumberFormat="1" applyBorder="1" applyAlignment="1">
      <alignment vertical="center"/>
    </xf>
    <xf numFmtId="171" fontId="17" fillId="0" borderId="16" xfId="6" applyNumberFormat="1" applyBorder="1" applyAlignment="1">
      <alignment vertical="center"/>
    </xf>
    <xf numFmtId="0" fontId="57" fillId="7" borderId="43" xfId="6" applyFont="1" applyFill="1" applyBorder="1" applyAlignment="1">
      <alignment horizontal="left" vertical="center" wrapText="1"/>
    </xf>
    <xf numFmtId="0" fontId="58" fillId="7" borderId="44" xfId="6" applyFont="1" applyFill="1" applyBorder="1" applyAlignment="1">
      <alignment horizontal="center" vertical="center" wrapText="1"/>
    </xf>
    <xf numFmtId="2" fontId="59" fillId="7" borderId="44" xfId="6" applyNumberFormat="1" applyFont="1" applyFill="1" applyBorder="1" applyAlignment="1">
      <alignment horizontal="center" vertical="center"/>
    </xf>
    <xf numFmtId="171" fontId="59" fillId="7" borderId="44" xfId="6" applyNumberFormat="1" applyFont="1" applyFill="1" applyBorder="1" applyAlignment="1">
      <alignment horizontal="center" vertical="center"/>
    </xf>
    <xf numFmtId="171" fontId="59" fillId="7" borderId="45" xfId="6" applyNumberFormat="1" applyFont="1" applyFill="1" applyBorder="1" applyAlignment="1">
      <alignment horizontal="center" vertical="center"/>
    </xf>
    <xf numFmtId="0" fontId="17" fillId="0" borderId="0" xfId="6" applyAlignment="1">
      <alignment vertical="center"/>
    </xf>
    <xf numFmtId="3" fontId="34" fillId="0" borderId="0" xfId="6" applyNumberFormat="1" applyFont="1" applyAlignment="1">
      <alignment vertical="top"/>
    </xf>
    <xf numFmtId="0" fontId="61" fillId="0" borderId="46" xfId="7" applyFont="1" applyBorder="1" applyAlignment="1">
      <alignment vertical="center"/>
    </xf>
    <xf numFmtId="0" fontId="32" fillId="0" borderId="47" xfId="7" applyFont="1" applyBorder="1" applyAlignment="1">
      <alignment vertical="center"/>
    </xf>
    <xf numFmtId="0" fontId="32" fillId="0" borderId="22" xfId="7" applyFont="1" applyBorder="1" applyAlignment="1">
      <alignment vertical="center"/>
    </xf>
    <xf numFmtId="0" fontId="32" fillId="0" borderId="0" xfId="7" applyFont="1" applyAlignment="1">
      <alignment vertical="center"/>
    </xf>
    <xf numFmtId="0" fontId="16" fillId="0" borderId="15" xfId="6" applyFont="1" applyBorder="1" applyAlignment="1">
      <alignment horizontal="center" vertical="center"/>
    </xf>
    <xf numFmtId="1" fontId="16" fillId="0" borderId="15" xfId="7" applyNumberFormat="1" applyBorder="1" applyAlignment="1">
      <alignment horizontal="center"/>
    </xf>
    <xf numFmtId="0" fontId="52" fillId="0" borderId="15" xfId="7" applyFont="1" applyBorder="1" applyAlignment="1">
      <alignment horizontal="center"/>
    </xf>
    <xf numFmtId="0" fontId="52" fillId="0" borderId="15" xfId="6" applyFont="1" applyBorder="1" applyAlignment="1">
      <alignment wrapText="1"/>
    </xf>
    <xf numFmtId="0" fontId="61" fillId="0" borderId="8" xfId="7" applyFont="1" applyBorder="1" applyAlignment="1">
      <alignment vertical="center"/>
    </xf>
    <xf numFmtId="0" fontId="32" fillId="0" borderId="37" xfId="7" applyFont="1" applyBorder="1" applyAlignment="1">
      <alignment vertical="center"/>
    </xf>
    <xf numFmtId="0" fontId="32" fillId="0" borderId="9" xfId="7" applyFont="1" applyBorder="1" applyAlignment="1">
      <alignment vertical="center"/>
    </xf>
    <xf numFmtId="0" fontId="16" fillId="0" borderId="15" xfId="6" applyFont="1" applyBorder="1" applyAlignment="1">
      <alignment horizontal="left" vertical="center"/>
    </xf>
    <xf numFmtId="0" fontId="52" fillId="0" borderId="15" xfId="7" applyFont="1" applyBorder="1" applyAlignment="1">
      <alignment vertical="center" wrapText="1"/>
    </xf>
    <xf numFmtId="0" fontId="52" fillId="0" borderId="15" xfId="6" applyFont="1" applyBorder="1" applyAlignment="1">
      <alignment horizontal="left" vertical="center"/>
    </xf>
    <xf numFmtId="0" fontId="43" fillId="0" borderId="15" xfId="6" applyFont="1" applyBorder="1" applyAlignment="1">
      <alignment wrapText="1"/>
    </xf>
    <xf numFmtId="1" fontId="42" fillId="0" borderId="15" xfId="7" applyNumberFormat="1" applyFont="1" applyBorder="1" applyAlignment="1">
      <alignment horizontal="center"/>
    </xf>
    <xf numFmtId="0" fontId="43" fillId="0" borderId="15" xfId="7" applyFont="1" applyBorder="1" applyAlignment="1">
      <alignment horizontal="center"/>
    </xf>
    <xf numFmtId="0" fontId="64" fillId="0" borderId="15" xfId="13" applyFont="1" applyBorder="1" applyAlignment="1">
      <alignment wrapText="1"/>
    </xf>
    <xf numFmtId="0" fontId="43" fillId="0" borderId="15" xfId="6" applyFont="1" applyBorder="1" applyAlignment="1">
      <alignment horizontal="left" wrapText="1"/>
    </xf>
    <xf numFmtId="0" fontId="43" fillId="0" borderId="15" xfId="7" applyFont="1" applyBorder="1" applyAlignment="1">
      <alignment horizontal="left" vertical="center" wrapText="1"/>
    </xf>
    <xf numFmtId="1" fontId="3" fillId="0" borderId="15" xfId="7" applyNumberFormat="1" applyFont="1" applyBorder="1" applyAlignment="1">
      <alignment horizontal="center"/>
    </xf>
    <xf numFmtId="0" fontId="12" fillId="0" borderId="15" xfId="7" applyFont="1" applyBorder="1" applyAlignment="1">
      <alignment horizontal="center"/>
    </xf>
    <xf numFmtId="0" fontId="44" fillId="0" borderId="15" xfId="6" applyFont="1" applyBorder="1" applyAlignment="1">
      <alignment horizontal="left" vertical="center"/>
    </xf>
    <xf numFmtId="0" fontId="65" fillId="0" borderId="15" xfId="13" applyFont="1" applyBorder="1" applyAlignment="1">
      <alignment wrapText="1"/>
    </xf>
    <xf numFmtId="0" fontId="43" fillId="0" borderId="15" xfId="7" applyFont="1" applyBorder="1" applyAlignment="1">
      <alignment wrapText="1"/>
    </xf>
    <xf numFmtId="0" fontId="43" fillId="0" borderId="15" xfId="7" applyFont="1" applyBorder="1" applyAlignment="1">
      <alignment horizontal="left" wrapText="1"/>
    </xf>
    <xf numFmtId="0" fontId="42" fillId="0" borderId="15" xfId="6" applyFont="1" applyBorder="1" applyAlignment="1">
      <alignment horizontal="left" vertical="center"/>
    </xf>
    <xf numFmtId="0" fontId="52" fillId="0" borderId="15" xfId="7" applyFont="1" applyBorder="1" applyAlignment="1">
      <alignment horizontal="left" vertical="center" wrapText="1"/>
    </xf>
    <xf numFmtId="0" fontId="66" fillId="0" borderId="15" xfId="13" applyFont="1" applyBorder="1" applyAlignment="1">
      <alignment wrapText="1"/>
    </xf>
    <xf numFmtId="0" fontId="52" fillId="0" borderId="15" xfId="6" applyFont="1" applyBorder="1" applyAlignment="1">
      <alignment horizontal="center" vertical="center"/>
    </xf>
    <xf numFmtId="0" fontId="52" fillId="0" borderId="15" xfId="7" applyFont="1" applyBorder="1" applyAlignment="1">
      <alignment wrapText="1"/>
    </xf>
    <xf numFmtId="0" fontId="52" fillId="0" borderId="15" xfId="7" applyFont="1" applyBorder="1" applyAlignment="1">
      <alignment horizontal="left" wrapText="1"/>
    </xf>
    <xf numFmtId="0" fontId="43" fillId="0" borderId="15" xfId="7" applyFont="1" applyBorder="1" applyAlignment="1">
      <alignment vertical="center" wrapText="1"/>
    </xf>
    <xf numFmtId="0" fontId="42" fillId="0" borderId="8" xfId="7" applyFont="1" applyBorder="1" applyAlignment="1">
      <alignment horizontal="center" vertical="center"/>
    </xf>
    <xf numFmtId="0" fontId="43" fillId="0" borderId="15" xfId="6" applyFont="1" applyBorder="1" applyAlignment="1">
      <alignment horizontal="center"/>
    </xf>
    <xf numFmtId="0" fontId="48" fillId="0" borderId="15" xfId="7" applyFont="1" applyBorder="1" applyAlignment="1">
      <alignment horizontal="left" vertical="center" wrapText="1"/>
    </xf>
    <xf numFmtId="0" fontId="48" fillId="0" borderId="15" xfId="7" applyFont="1" applyBorder="1" applyAlignment="1">
      <alignment horizontal="left" wrapText="1"/>
    </xf>
    <xf numFmtId="0" fontId="51" fillId="2" borderId="15" xfId="6" applyFont="1" applyFill="1" applyBorder="1" applyAlignment="1">
      <alignment horizontal="left" vertical="top"/>
    </xf>
    <xf numFmtId="0" fontId="17" fillId="0" borderId="15" xfId="6" applyBorder="1" applyAlignment="1">
      <alignment horizontal="center" vertical="top"/>
    </xf>
    <xf numFmtId="0" fontId="42" fillId="0" borderId="15" xfId="7" applyFont="1" applyBorder="1" applyAlignment="1">
      <alignment horizontal="center" vertical="center"/>
    </xf>
    <xf numFmtId="1" fontId="42" fillId="0" borderId="15" xfId="6" applyNumberFormat="1" applyFont="1" applyBorder="1" applyAlignment="1">
      <alignment horizontal="center" vertical="center"/>
    </xf>
    <xf numFmtId="0" fontId="43" fillId="0" borderId="15" xfId="7" applyFont="1" applyBorder="1" applyAlignment="1">
      <alignment horizontal="center" vertical="center"/>
    </xf>
    <xf numFmtId="1" fontId="16" fillId="0" borderId="15" xfId="7" applyNumberFormat="1" applyBorder="1" applyAlignment="1">
      <alignment horizontal="center" vertical="center"/>
    </xf>
    <xf numFmtId="1" fontId="42" fillId="0" borderId="15" xfId="7" applyNumberFormat="1" applyFont="1" applyBorder="1" applyAlignment="1">
      <alignment horizontal="center" vertical="center"/>
    </xf>
    <xf numFmtId="0" fontId="43" fillId="0" borderId="8" xfId="7" applyFont="1" applyBorder="1" applyAlignment="1">
      <alignment horizontal="left" wrapText="1"/>
    </xf>
    <xf numFmtId="0" fontId="38" fillId="0" borderId="8" xfId="6" applyFont="1" applyBorder="1" applyAlignment="1">
      <alignment horizontal="left" vertical="center"/>
    </xf>
    <xf numFmtId="0" fontId="40" fillId="0" borderId="37" xfId="6" applyFont="1" applyBorder="1" applyAlignment="1">
      <alignment vertical="top"/>
    </xf>
    <xf numFmtId="0" fontId="40" fillId="0" borderId="9" xfId="6" applyFont="1" applyBorder="1" applyAlignment="1">
      <alignment vertical="top"/>
    </xf>
    <xf numFmtId="0" fontId="40" fillId="0" borderId="0" xfId="6" applyFont="1" applyAlignment="1">
      <alignment vertical="top"/>
    </xf>
    <xf numFmtId="0" fontId="43" fillId="0" borderId="15" xfId="6" applyFont="1" applyBorder="1"/>
    <xf numFmtId="166" fontId="43" fillId="2" borderId="15" xfId="6" applyNumberFormat="1" applyFont="1" applyFill="1" applyBorder="1" applyAlignment="1">
      <alignment horizontal="left" vertical="center" wrapText="1"/>
    </xf>
    <xf numFmtId="166" fontId="45" fillId="0" borderId="15" xfId="6" applyNumberFormat="1" applyFont="1" applyBorder="1" applyAlignment="1">
      <alignment horizontal="center" vertical="center" wrapText="1"/>
    </xf>
    <xf numFmtId="166" fontId="43" fillId="0" borderId="15" xfId="6" applyNumberFormat="1" applyFont="1" applyBorder="1" applyAlignment="1">
      <alignment horizontal="center" vertical="center" wrapText="1"/>
    </xf>
    <xf numFmtId="1" fontId="16" fillId="0" borderId="15" xfId="6" applyNumberFormat="1" applyFont="1" applyBorder="1" applyAlignment="1">
      <alignment horizontal="center" vertical="center"/>
    </xf>
    <xf numFmtId="166" fontId="52" fillId="2" borderId="15" xfId="6" applyNumberFormat="1" applyFont="1" applyFill="1" applyBorder="1" applyAlignment="1">
      <alignment horizontal="left" vertical="center" wrapText="1"/>
    </xf>
    <xf numFmtId="166" fontId="3" fillId="0" borderId="15" xfId="6" applyNumberFormat="1" applyFont="1" applyBorder="1" applyAlignment="1">
      <alignment horizontal="center" vertical="center" wrapText="1"/>
    </xf>
    <xf numFmtId="166" fontId="52" fillId="0" borderId="15" xfId="6" applyNumberFormat="1" applyFont="1" applyBorder="1" applyAlignment="1">
      <alignment horizontal="center" vertical="center" wrapText="1"/>
    </xf>
    <xf numFmtId="0" fontId="52" fillId="2" borderId="15" xfId="6" applyFont="1" applyFill="1" applyBorder="1" applyAlignment="1">
      <alignment horizontal="left" vertical="center" wrapText="1"/>
    </xf>
    <xf numFmtId="166" fontId="16" fillId="0" borderId="15" xfId="6" applyNumberFormat="1" applyFont="1" applyBorder="1" applyAlignment="1">
      <alignment horizontal="center" vertical="center" wrapText="1"/>
    </xf>
    <xf numFmtId="0" fontId="52" fillId="0" borderId="15" xfId="6" applyFont="1" applyBorder="1" applyAlignment="1">
      <alignment horizontal="center" vertical="center" wrapText="1"/>
    </xf>
    <xf numFmtId="0" fontId="43" fillId="0" borderId="15" xfId="6" applyFont="1" applyBorder="1" applyAlignment="1">
      <alignment horizontal="left" vertical="center" wrapText="1"/>
    </xf>
    <xf numFmtId="0" fontId="43" fillId="0" borderId="15" xfId="6" applyFont="1" applyBorder="1" applyAlignment="1">
      <alignment horizontal="center" vertical="center" wrapText="1"/>
    </xf>
    <xf numFmtId="166" fontId="42" fillId="0" borderId="15" xfId="6" applyNumberFormat="1" applyFont="1" applyBorder="1" applyAlignment="1">
      <alignment horizontal="center" vertical="center" wrapText="1"/>
    </xf>
    <xf numFmtId="44" fontId="0" fillId="0" borderId="0" xfId="0" applyNumberFormat="1"/>
    <xf numFmtId="0" fontId="2" fillId="0" borderId="38" xfId="0" applyFont="1" applyBorder="1" applyAlignment="1">
      <alignment horizontal="center" vertical="center" wrapText="1"/>
    </xf>
    <xf numFmtId="0" fontId="71" fillId="2" borderId="48" xfId="0" applyFont="1" applyFill="1" applyBorder="1" applyAlignment="1">
      <alignment horizontal="center" vertical="center"/>
    </xf>
    <xf numFmtId="0" fontId="0" fillId="0" borderId="36" xfId="0" applyBorder="1"/>
    <xf numFmtId="0" fontId="14" fillId="2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173" fontId="11" fillId="2" borderId="21" xfId="10" applyNumberFormat="1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2" fontId="11" fillId="2" borderId="46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71" fillId="2" borderId="5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9" fontId="10" fillId="2" borderId="15" xfId="3" applyNumberFormat="1" applyFont="1" applyFill="1" applyBorder="1" applyAlignment="1">
      <alignment horizontal="center" vertical="center" wrapText="1"/>
    </xf>
    <xf numFmtId="1" fontId="11" fillId="2" borderId="15" xfId="3" applyNumberFormat="1" applyFont="1" applyFill="1" applyBorder="1" applyAlignment="1">
      <alignment horizontal="center" vertical="center" wrapText="1"/>
    </xf>
    <xf numFmtId="9" fontId="10" fillId="2" borderId="21" xfId="3" applyNumberFormat="1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166" fontId="11" fillId="2" borderId="21" xfId="3" applyNumberFormat="1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9" fontId="11" fillId="2" borderId="15" xfId="3" applyNumberFormat="1" applyFont="1" applyFill="1" applyBorder="1" applyAlignment="1">
      <alignment horizontal="center" vertical="center" wrapText="1"/>
    </xf>
    <xf numFmtId="44" fontId="2" fillId="0" borderId="0" xfId="2" applyFont="1"/>
    <xf numFmtId="0" fontId="73" fillId="2" borderId="15" xfId="3" applyFont="1" applyFill="1" applyBorder="1" applyAlignment="1">
      <alignment horizontal="left" vertical="center" wrapText="1"/>
    </xf>
    <xf numFmtId="0" fontId="72" fillId="2" borderId="15" xfId="3" applyFont="1" applyFill="1" applyBorder="1" applyAlignment="1">
      <alignment horizontal="center" vertical="center" wrapText="1"/>
    </xf>
    <xf numFmtId="0" fontId="73" fillId="2" borderId="15" xfId="3" applyFont="1" applyFill="1" applyBorder="1" applyAlignment="1">
      <alignment horizontal="center" vertical="center" wrapText="1"/>
    </xf>
    <xf numFmtId="43" fontId="0" fillId="0" borderId="32" xfId="0" applyNumberFormat="1" applyBorder="1"/>
    <xf numFmtId="0" fontId="74" fillId="0" borderId="38" xfId="0" applyFont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43" fontId="11" fillId="2" borderId="8" xfId="2" applyNumberFormat="1" applyFont="1" applyFill="1" applyBorder="1" applyAlignment="1">
      <alignment vertical="center"/>
    </xf>
    <xf numFmtId="43" fontId="11" fillId="2" borderId="51" xfId="2" applyNumberFormat="1" applyFont="1" applyFill="1" applyBorder="1" applyAlignment="1">
      <alignment vertical="center"/>
    </xf>
    <xf numFmtId="43" fontId="13" fillId="2" borderId="8" xfId="2" applyNumberFormat="1" applyFont="1" applyFill="1" applyBorder="1" applyAlignment="1">
      <alignment horizontal="right" vertical="center" wrapText="1"/>
    </xf>
    <xf numFmtId="2" fontId="11" fillId="2" borderId="51" xfId="0" applyNumberFormat="1" applyFont="1" applyFill="1" applyBorder="1" applyAlignment="1">
      <alignment horizontal="center" vertical="top" wrapText="1"/>
    </xf>
    <xf numFmtId="0" fontId="4" fillId="0" borderId="20" xfId="0" applyFont="1" applyBorder="1"/>
    <xf numFmtId="0" fontId="11" fillId="2" borderId="20" xfId="0" applyFont="1" applyFill="1" applyBorder="1" applyAlignment="1">
      <alignment horizontal="center" vertical="center"/>
    </xf>
    <xf numFmtId="0" fontId="52" fillId="0" borderId="15" xfId="6" applyFont="1" applyFill="1" applyBorder="1" applyAlignment="1">
      <alignment vertical="center" wrapText="1"/>
    </xf>
    <xf numFmtId="0" fontId="16" fillId="0" borderId="15" xfId="6" applyFont="1" applyFill="1" applyBorder="1" applyAlignment="1">
      <alignment horizontal="center" vertical="center"/>
    </xf>
    <xf numFmtId="1" fontId="16" fillId="0" borderId="15" xfId="7" applyNumberFormat="1" applyFill="1" applyBorder="1" applyAlignment="1">
      <alignment horizontal="center"/>
    </xf>
    <xf numFmtId="0" fontId="52" fillId="0" borderId="15" xfId="7" applyFont="1" applyFill="1" applyBorder="1" applyAlignment="1">
      <alignment horizontal="center"/>
    </xf>
    <xf numFmtId="170" fontId="0" fillId="0" borderId="15" xfId="10" applyFont="1" applyFill="1" applyBorder="1" applyAlignment="1">
      <alignment vertical="center"/>
    </xf>
    <xf numFmtId="0" fontId="17" fillId="0" borderId="0" xfId="6" applyFill="1" applyAlignment="1">
      <alignment vertical="top"/>
    </xf>
    <xf numFmtId="0" fontId="42" fillId="0" borderId="15" xfId="6" applyFont="1" applyFill="1" applyBorder="1" applyAlignment="1">
      <alignment horizontal="center" vertical="center"/>
    </xf>
    <xf numFmtId="0" fontId="43" fillId="0" borderId="15" xfId="6" applyFont="1" applyFill="1" applyBorder="1" applyAlignment="1">
      <alignment wrapText="1"/>
    </xf>
    <xf numFmtId="1" fontId="42" fillId="0" borderId="15" xfId="7" applyNumberFormat="1" applyFont="1" applyFill="1" applyBorder="1" applyAlignment="1">
      <alignment horizontal="center"/>
    </xf>
    <xf numFmtId="0" fontId="43" fillId="0" borderId="15" xfId="7" applyFont="1" applyFill="1" applyBorder="1" applyAlignment="1">
      <alignment horizontal="center"/>
    </xf>
    <xf numFmtId="0" fontId="41" fillId="0" borderId="0" xfId="6" applyFont="1" applyFill="1" applyAlignment="1">
      <alignment vertical="top"/>
    </xf>
    <xf numFmtId="0" fontId="52" fillId="0" borderId="15" xfId="6" applyFont="1" applyFill="1" applyBorder="1" applyAlignment="1">
      <alignment wrapText="1"/>
    </xf>
    <xf numFmtId="43" fontId="55" fillId="7" borderId="15" xfId="1" applyFont="1" applyFill="1" applyBorder="1" applyAlignment="1">
      <alignment vertical="center"/>
    </xf>
    <xf numFmtId="43" fontId="56" fillId="7" borderId="15" xfId="1" applyFont="1" applyFill="1" applyBorder="1" applyAlignment="1">
      <alignment vertical="center"/>
    </xf>
    <xf numFmtId="43" fontId="0" fillId="0" borderId="15" xfId="1" applyFont="1" applyBorder="1" applyAlignment="1">
      <alignment vertical="center"/>
    </xf>
    <xf numFmtId="43" fontId="17" fillId="7" borderId="15" xfId="1" applyFont="1" applyFill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60" fillId="7" borderId="38" xfId="1" applyFont="1" applyFill="1" applyBorder="1" applyAlignment="1">
      <alignment horizontal="center" vertical="center"/>
    </xf>
    <xf numFmtId="43" fontId="2" fillId="0" borderId="38" xfId="1" applyFont="1" applyBorder="1" applyAlignment="1">
      <alignment horizontal="center" vertical="center"/>
    </xf>
    <xf numFmtId="43" fontId="74" fillId="0" borderId="38" xfId="1" applyFont="1" applyBorder="1" applyAlignment="1">
      <alignment horizontal="center" vertical="center"/>
    </xf>
    <xf numFmtId="43" fontId="76" fillId="8" borderId="52" xfId="15" applyNumberFormat="1" applyFont="1" applyBorder="1" applyAlignment="1">
      <alignment horizontal="center" wrapText="1"/>
    </xf>
    <xf numFmtId="43" fontId="76" fillId="8" borderId="53" xfId="15" applyNumberFormat="1" applyFont="1" applyBorder="1" applyAlignment="1">
      <alignment horizontal="center" wrapText="1"/>
    </xf>
    <xf numFmtId="43" fontId="76" fillId="8" borderId="54" xfId="15" applyNumberFormat="1" applyFont="1" applyBorder="1" applyAlignment="1">
      <alignment horizontal="center" wrapText="1"/>
    </xf>
    <xf numFmtId="43" fontId="76" fillId="8" borderId="55" xfId="15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6" fillId="0" borderId="6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43" fontId="8" fillId="0" borderId="14" xfId="1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21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49" fontId="19" fillId="0" borderId="16" xfId="3" applyNumberFormat="1" applyFont="1" applyBorder="1" applyAlignment="1">
      <alignment horizontal="center" vertical="center" wrapText="1"/>
    </xf>
    <xf numFmtId="49" fontId="19" fillId="0" borderId="21" xfId="3" applyNumberFormat="1" applyFont="1" applyBorder="1" applyAlignment="1">
      <alignment horizontal="center" vertical="center" wrapText="1"/>
    </xf>
    <xf numFmtId="0" fontId="19" fillId="0" borderId="37" xfId="3" applyFont="1" applyBorder="1" applyAlignment="1">
      <alignment horizontal="center" vertical="center" wrapText="1"/>
    </xf>
    <xf numFmtId="0" fontId="39" fillId="0" borderId="40" xfId="6" applyFont="1" applyBorder="1" applyAlignment="1">
      <alignment horizontal="center" vertical="center" wrapText="1"/>
    </xf>
    <xf numFmtId="2" fontId="8" fillId="0" borderId="40" xfId="6" applyNumberFormat="1" applyFont="1" applyBorder="1" applyAlignment="1">
      <alignment horizontal="center" vertical="center" wrapText="1"/>
    </xf>
    <xf numFmtId="2" fontId="8" fillId="0" borderId="13" xfId="6" applyNumberFormat="1" applyFont="1" applyBorder="1" applyAlignment="1">
      <alignment horizontal="center" vertical="center" wrapText="1"/>
    </xf>
    <xf numFmtId="0" fontId="37" fillId="0" borderId="39" xfId="6" applyFont="1" applyBorder="1" applyAlignment="1">
      <alignment horizontal="center" vertical="center"/>
    </xf>
    <xf numFmtId="0" fontId="37" fillId="0" borderId="42" xfId="6" applyFont="1" applyBorder="1" applyAlignment="1">
      <alignment horizontal="center" vertical="center"/>
    </xf>
    <xf numFmtId="0" fontId="38" fillId="0" borderId="40" xfId="7" applyFont="1" applyBorder="1" applyAlignment="1">
      <alignment horizontal="center" vertical="center" wrapText="1"/>
    </xf>
    <xf numFmtId="0" fontId="38" fillId="0" borderId="13" xfId="7" applyFont="1" applyBorder="1" applyAlignment="1">
      <alignment horizontal="center" vertical="center" wrapText="1"/>
    </xf>
    <xf numFmtId="1" fontId="38" fillId="0" borderId="2" xfId="7" applyNumberFormat="1" applyFont="1" applyBorder="1" applyAlignment="1">
      <alignment horizontal="center" vertical="center"/>
    </xf>
    <xf numFmtId="1" fontId="38" fillId="0" borderId="12" xfId="7" applyNumberFormat="1" applyFont="1" applyBorder="1" applyAlignment="1">
      <alignment horizontal="center" vertical="center"/>
    </xf>
    <xf numFmtId="0" fontId="38" fillId="0" borderId="41" xfId="7" applyFont="1" applyBorder="1" applyAlignment="1">
      <alignment horizontal="center" vertical="center"/>
    </xf>
    <xf numFmtId="0" fontId="38" fillId="0" borderId="14" xfId="7" applyFont="1" applyBorder="1" applyAlignment="1">
      <alignment horizontal="center" vertical="center"/>
    </xf>
    <xf numFmtId="2" fontId="8" fillId="0" borderId="39" xfId="6" applyNumberFormat="1" applyFont="1" applyBorder="1" applyAlignment="1">
      <alignment horizontal="center" vertical="center" wrapText="1"/>
    </xf>
    <xf numFmtId="0" fontId="8" fillId="0" borderId="40" xfId="6" applyFont="1" applyBorder="1" applyAlignment="1">
      <alignment horizontal="center" vertical="center" wrapText="1"/>
    </xf>
  </cellXfs>
  <cellStyles count="16">
    <cellStyle name="Accent5" xfId="15" builtinId="45"/>
    <cellStyle name="ColStyle3" xfId="11" xr:uid="{DA773F47-4606-4BC3-A8A5-7CEA48449824}"/>
    <cellStyle name="Comma" xfId="1" builtinId="3"/>
    <cellStyle name="Comma 2" xfId="10" xr:uid="{E2ADFD2E-95AE-48F8-AAF5-EB0A1B9E6BF5}"/>
    <cellStyle name="Comma 7" xfId="9" xr:uid="{EABB47B9-7B49-40DC-84F0-3151E6F4C2DC}"/>
    <cellStyle name="Currency" xfId="2" builtinId="4"/>
    <cellStyle name="Currency 2" xfId="12" xr:uid="{EE7EC4E4-0563-4934-9F21-5221AF086FA9}"/>
    <cellStyle name="Normal" xfId="0" builtinId="0"/>
    <cellStyle name="Normal 2" xfId="3" xr:uid="{4E253001-BA98-436F-BDD2-4A9B27D7DF8E}"/>
    <cellStyle name="Normal 2 2" xfId="13" xr:uid="{04001557-5F8E-41B1-8AA1-7936553FC5BD}"/>
    <cellStyle name="Normal 2 3" xfId="14" xr:uid="{9247AB0D-18DA-4CA0-BA06-EA138C48E46B}"/>
    <cellStyle name="Normal 3" xfId="6" xr:uid="{1BA51430-B5B2-4F67-8D8B-E0FEA7BEB4C0}"/>
    <cellStyle name="Normal 3 2" xfId="5" xr:uid="{7777620D-238D-4DBF-9C2A-3DAF792D968B}"/>
    <cellStyle name="Normal_1 axali Fasebi" xfId="7" xr:uid="{939FD185-8758-4EF8-B834-99FD6BD6216A}"/>
    <cellStyle name="Normal_Sheet1" xfId="8" xr:uid="{C3063F99-B92C-4AB8-959F-1791FF979705}"/>
    <cellStyle name="Обычный_დემონტაჟი" xfId="4" xr:uid="{5BC919BD-7C78-4257-9C58-84775A575F75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khtang Patarkatsishvili" id="{604FC3E5-BDF9-4B43-B3FA-9F33BE8B326D}" userId="S::vpatarkatsishvili@gre.ge::b4ec6142-beb2-42ba-9d9d-a65573b71e5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4" dT="2021-10-21T05:33:24.52" personId="{604FC3E5-BDF9-4B43-B3FA-9F33BE8B326D}" id="{FA416AE5-C858-47B3-8A60-C04F5BC457D0}">
    <text>ავეჯის განფასებაშია</text>
  </threadedComment>
  <threadedComment ref="C52" dT="2021-10-21T05:34:31.56" personId="{604FC3E5-BDF9-4B43-B3FA-9F33BE8B326D}" id="{17104685-C0EB-4ECD-8047-B9CBF6A93ECC}">
    <text>ავეჯის განფასებაშია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4259-007A-4207-918D-1936763DB9E6}">
  <dimension ref="B2:F17"/>
  <sheetViews>
    <sheetView showGridLines="0" tabSelected="1" workbookViewId="0">
      <selection activeCell="O14" sqref="O14"/>
    </sheetView>
  </sheetViews>
  <sheetFormatPr defaultRowHeight="15"/>
  <cols>
    <col min="2" max="2" width="29.85546875" customWidth="1"/>
    <col min="3" max="3" width="29.42578125" customWidth="1"/>
    <col min="4" max="4" width="13.7109375" bestFit="1" customWidth="1"/>
  </cols>
  <sheetData>
    <row r="2" spans="2:6" ht="15.75" thickBot="1"/>
    <row r="3" spans="2:6" ht="24.75" customHeight="1">
      <c r="B3" s="433" t="s">
        <v>1035</v>
      </c>
      <c r="C3" s="434"/>
    </row>
    <row r="4" spans="2:6" ht="15.75" thickBot="1">
      <c r="B4" s="435"/>
      <c r="C4" s="436"/>
    </row>
    <row r="7" spans="2:6" ht="15.75" thickBot="1">
      <c r="D7" s="400"/>
    </row>
    <row r="8" spans="2:6" ht="31.15" customHeight="1" thickBot="1">
      <c r="B8" s="374" t="s">
        <v>1022</v>
      </c>
      <c r="C8" s="431">
        <f>'სამშენებლო სამუშაოები'!M271</f>
        <v>0</v>
      </c>
      <c r="F8" s="373"/>
    </row>
    <row r="9" spans="2:6" ht="31.15" customHeight="1" thickBot="1">
      <c r="B9" s="374" t="s">
        <v>1016</v>
      </c>
      <c r="C9" s="431">
        <f>(კანალიზაცია!M170+'შიდა წყალსადენი'!M169)</f>
        <v>0</v>
      </c>
    </row>
    <row r="10" spans="2:6" ht="31.15" customHeight="1" thickBot="1">
      <c r="B10" s="374" t="s">
        <v>754</v>
      </c>
      <c r="C10" s="431">
        <f>ელ.სამუშაოები!K323</f>
        <v>0</v>
      </c>
      <c r="D10" s="373"/>
    </row>
    <row r="11" spans="2:6" ht="31.15" customHeight="1" thickBot="1">
      <c r="B11" s="374" t="s">
        <v>755</v>
      </c>
      <c r="C11" s="431">
        <f>'სუსტი დენები'!K77</f>
        <v>0</v>
      </c>
    </row>
    <row r="12" spans="2:6" ht="31.15" customHeight="1" thickBot="1">
      <c r="B12" s="374" t="s">
        <v>1023</v>
      </c>
      <c r="C12" s="431">
        <f>ხანძარქრობა!M164</f>
        <v>0</v>
      </c>
    </row>
    <row r="13" spans="2:6" ht="31.15" customHeight="1" thickBot="1">
      <c r="B13" s="374" t="s">
        <v>757</v>
      </c>
      <c r="C13" s="431">
        <f>'გათბობა-გაგრილება'!M237</f>
        <v>0</v>
      </c>
    </row>
    <row r="14" spans="2:6" ht="31.15" customHeight="1" thickBot="1">
      <c r="B14" s="374" t="s">
        <v>880</v>
      </c>
      <c r="C14" s="431">
        <f>ვენტილაცია!M216</f>
        <v>0</v>
      </c>
      <c r="D14" s="373"/>
    </row>
    <row r="15" spans="2:6" ht="31.15" customHeight="1" thickBot="1">
      <c r="B15" s="405" t="s">
        <v>756</v>
      </c>
      <c r="C15" s="432">
        <f>SUM(C8:C14)</f>
        <v>0</v>
      </c>
      <c r="D15" s="373"/>
      <c r="E15" s="373"/>
      <c r="F15" s="373"/>
    </row>
    <row r="16" spans="2:6">
      <c r="E16" s="373"/>
    </row>
    <row r="17" spans="4:4">
      <c r="D17" s="373"/>
    </row>
  </sheetData>
  <mergeCells count="1">
    <mergeCell ref="B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81281-1EBA-46F3-B728-94151C948F75}">
  <sheetPr>
    <tabColor rgb="FFFFFF00"/>
  </sheetPr>
  <dimension ref="A1:N309"/>
  <sheetViews>
    <sheetView showGridLines="0" zoomScaleNormal="100" workbookViewId="0">
      <selection activeCell="M271" sqref="M271"/>
    </sheetView>
  </sheetViews>
  <sheetFormatPr defaultRowHeight="15"/>
  <cols>
    <col min="1" max="1" width="5.42578125" style="1" customWidth="1"/>
    <col min="2" max="2" width="16.28515625" style="103" customWidth="1"/>
    <col min="3" max="3" width="36.140625" customWidth="1"/>
    <col min="6" max="6" width="18.28515625" customWidth="1"/>
    <col min="7" max="7" width="10.28515625" customWidth="1"/>
    <col min="8" max="8" width="14.28515625" customWidth="1"/>
    <col min="9" max="9" width="9.28515625" bestFit="1" customWidth="1"/>
    <col min="10" max="10" width="12.7109375" bestFit="1" customWidth="1"/>
    <col min="12" max="12" width="11.7109375" bestFit="1" customWidth="1"/>
    <col min="13" max="13" width="13.85546875" bestFit="1" customWidth="1"/>
  </cols>
  <sheetData>
    <row r="1" spans="1:14" s="7" customFormat="1">
      <c r="A1" s="1"/>
      <c r="B1" s="2"/>
      <c r="C1" s="3"/>
      <c r="D1" s="4"/>
      <c r="E1" s="4"/>
      <c r="F1" s="5"/>
      <c r="G1" s="5"/>
      <c r="H1" s="5"/>
      <c r="I1" s="6"/>
      <c r="J1" s="6"/>
      <c r="K1" s="6"/>
      <c r="L1" s="6"/>
      <c r="M1" s="6"/>
    </row>
    <row r="2" spans="1:14" s="7" customFormat="1" ht="15.75" thickBot="1">
      <c r="A2" s="1"/>
      <c r="B2" s="8"/>
      <c r="C2" s="9"/>
      <c r="D2" s="10"/>
      <c r="E2" s="10"/>
      <c r="F2" s="10"/>
      <c r="G2" s="10"/>
      <c r="H2" s="10"/>
      <c r="I2" s="10"/>
      <c r="J2" s="10"/>
      <c r="K2" s="10"/>
      <c r="L2" s="10" t="s">
        <v>0</v>
      </c>
      <c r="M2" s="10">
        <v>3.2</v>
      </c>
    </row>
    <row r="3" spans="1:14" s="7" customFormat="1" ht="13.9" customHeight="1">
      <c r="A3" s="437" t="s">
        <v>1</v>
      </c>
      <c r="B3" s="440" t="s">
        <v>2</v>
      </c>
      <c r="C3" s="443" t="s">
        <v>3</v>
      </c>
      <c r="D3" s="443" t="s">
        <v>4</v>
      </c>
      <c r="E3" s="446" t="s">
        <v>5</v>
      </c>
      <c r="F3" s="447"/>
      <c r="G3" s="447"/>
      <c r="H3" s="447"/>
      <c r="I3" s="447"/>
      <c r="J3" s="447"/>
      <c r="K3" s="447"/>
      <c r="L3" s="447"/>
      <c r="M3" s="448"/>
    </row>
    <row r="4" spans="1:14" s="7" customFormat="1" ht="30.75" customHeight="1">
      <c r="A4" s="438"/>
      <c r="B4" s="441"/>
      <c r="C4" s="444"/>
      <c r="D4" s="444"/>
      <c r="E4" s="449" t="s">
        <v>6</v>
      </c>
      <c r="F4" s="450"/>
      <c r="G4" s="449" t="s">
        <v>7</v>
      </c>
      <c r="H4" s="450"/>
      <c r="I4" s="449" t="s">
        <v>8</v>
      </c>
      <c r="J4" s="450"/>
      <c r="K4" s="449" t="s">
        <v>9</v>
      </c>
      <c r="L4" s="450"/>
      <c r="M4" s="451" t="s">
        <v>10</v>
      </c>
    </row>
    <row r="5" spans="1:14" s="7" customFormat="1" ht="26.25" thickBot="1">
      <c r="A5" s="439"/>
      <c r="B5" s="442"/>
      <c r="C5" s="445"/>
      <c r="D5" s="445"/>
      <c r="E5" s="11" t="s">
        <v>11</v>
      </c>
      <c r="F5" s="12" t="s">
        <v>12</v>
      </c>
      <c r="G5" s="11" t="s">
        <v>13</v>
      </c>
      <c r="H5" s="12" t="s">
        <v>12</v>
      </c>
      <c r="I5" s="11" t="s">
        <v>14</v>
      </c>
      <c r="J5" s="12" t="s">
        <v>12</v>
      </c>
      <c r="K5" s="11" t="s">
        <v>13</v>
      </c>
      <c r="L5" s="12" t="s">
        <v>12</v>
      </c>
      <c r="M5" s="452"/>
    </row>
    <row r="6" spans="1:14" s="20" customFormat="1">
      <c r="A6" s="13">
        <v>1</v>
      </c>
      <c r="B6" s="14" t="s">
        <v>15</v>
      </c>
      <c r="C6" s="15">
        <v>3</v>
      </c>
      <c r="D6" s="16">
        <v>4</v>
      </c>
      <c r="E6" s="17">
        <v>5</v>
      </c>
      <c r="F6" s="18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9">
        <v>13</v>
      </c>
    </row>
    <row r="7" spans="1:14" s="111" customFormat="1" ht="18">
      <c r="A7" s="109"/>
      <c r="B7" s="22"/>
      <c r="C7" s="110" t="s">
        <v>151</v>
      </c>
      <c r="D7" s="33"/>
      <c r="E7" s="32"/>
      <c r="F7" s="32"/>
      <c r="G7" s="27"/>
      <c r="H7" s="27"/>
      <c r="I7" s="27"/>
      <c r="J7" s="28"/>
      <c r="K7" s="28"/>
      <c r="L7" s="28"/>
      <c r="M7" s="49"/>
      <c r="N7" s="137"/>
    </row>
    <row r="8" spans="1:14" s="111" customFormat="1" ht="30">
      <c r="A8" s="109">
        <v>1</v>
      </c>
      <c r="B8" s="108" t="s">
        <v>153</v>
      </c>
      <c r="C8" s="23" t="s">
        <v>152</v>
      </c>
      <c r="D8" s="24" t="s">
        <v>27</v>
      </c>
      <c r="E8" s="25"/>
      <c r="F8" s="25">
        <v>240</v>
      </c>
      <c r="G8" s="26"/>
      <c r="H8" s="27"/>
      <c r="I8" s="27"/>
      <c r="J8" s="28"/>
      <c r="K8" s="28"/>
      <c r="L8" s="28"/>
      <c r="M8" s="49"/>
      <c r="N8" s="137"/>
    </row>
    <row r="9" spans="1:14" s="111" customFormat="1">
      <c r="A9" s="112"/>
      <c r="B9" s="59"/>
      <c r="C9" s="30" t="s">
        <v>17</v>
      </c>
      <c r="D9" s="31" t="s">
        <v>18</v>
      </c>
      <c r="E9" s="55">
        <v>1</v>
      </c>
      <c r="F9" s="55">
        <f>E9*F8</f>
        <v>240</v>
      </c>
      <c r="G9" s="56"/>
      <c r="H9" s="57"/>
      <c r="I9" s="57"/>
      <c r="J9" s="58">
        <f>I9*F9</f>
        <v>0</v>
      </c>
      <c r="K9" s="58"/>
      <c r="L9" s="28"/>
      <c r="M9" s="49">
        <f>H9+J9+L9</f>
        <v>0</v>
      </c>
      <c r="N9" s="137"/>
    </row>
    <row r="10" spans="1:14" s="111" customFormat="1">
      <c r="A10" s="109"/>
      <c r="B10" s="22"/>
      <c r="C10" s="50" t="s">
        <v>30</v>
      </c>
      <c r="D10" s="47" t="s">
        <v>25</v>
      </c>
      <c r="E10" s="32">
        <v>3.0999999999999999E-3</v>
      </c>
      <c r="F10" s="32">
        <f>E10*F8</f>
        <v>0.74399999999999999</v>
      </c>
      <c r="G10" s="27"/>
      <c r="H10" s="27"/>
      <c r="I10" s="27"/>
      <c r="J10" s="28"/>
      <c r="K10" s="28"/>
      <c r="L10" s="28">
        <f>K10*F10</f>
        <v>0</v>
      </c>
      <c r="M10" s="49">
        <f t="shared" ref="M10" si="0">H10+J10+L10</f>
        <v>0</v>
      </c>
      <c r="N10" s="137"/>
    </row>
    <row r="11" spans="1:14" s="111" customFormat="1" ht="30">
      <c r="A11" s="109">
        <v>2</v>
      </c>
      <c r="B11" s="108" t="s">
        <v>154</v>
      </c>
      <c r="C11" s="23" t="s">
        <v>155</v>
      </c>
      <c r="D11" s="24" t="s">
        <v>27</v>
      </c>
      <c r="E11" s="25"/>
      <c r="F11" s="25">
        <v>685</v>
      </c>
      <c r="G11" s="26"/>
      <c r="H11" s="27"/>
      <c r="I11" s="27"/>
      <c r="J11" s="28"/>
      <c r="K11" s="28"/>
      <c r="L11" s="28"/>
      <c r="M11" s="49"/>
      <c r="N11" s="137"/>
    </row>
    <row r="12" spans="1:14" s="111" customFormat="1">
      <c r="A12" s="112"/>
      <c r="B12" s="59"/>
      <c r="C12" s="30" t="s">
        <v>17</v>
      </c>
      <c r="D12" s="31" t="s">
        <v>18</v>
      </c>
      <c r="E12" s="55">
        <v>1</v>
      </c>
      <c r="F12" s="55">
        <f>E12*F11</f>
        <v>685</v>
      </c>
      <c r="G12" s="56"/>
      <c r="H12" s="57"/>
      <c r="I12" s="57"/>
      <c r="J12" s="58">
        <f>I12*F12</f>
        <v>0</v>
      </c>
      <c r="K12" s="58"/>
      <c r="L12" s="28"/>
      <c r="M12" s="49">
        <f>H12+J12+L12</f>
        <v>0</v>
      </c>
      <c r="N12" s="137"/>
    </row>
    <row r="13" spans="1:14" s="111" customFormat="1">
      <c r="A13" s="109"/>
      <c r="B13" s="22"/>
      <c r="C13" s="50" t="s">
        <v>30</v>
      </c>
      <c r="D13" s="47" t="s">
        <v>25</v>
      </c>
      <c r="E13" s="32">
        <v>1.6000000000000001E-3</v>
      </c>
      <c r="F13" s="32">
        <f>E13*F11</f>
        <v>1.0960000000000001</v>
      </c>
      <c r="G13" s="27"/>
      <c r="H13" s="27"/>
      <c r="I13" s="27"/>
      <c r="J13" s="28"/>
      <c r="K13" s="28"/>
      <c r="L13" s="28">
        <f>K13*F13</f>
        <v>0</v>
      </c>
      <c r="M13" s="49">
        <f t="shared" ref="M13" si="1">H13+J13+L13</f>
        <v>0</v>
      </c>
      <c r="N13" s="137"/>
    </row>
    <row r="14" spans="1:14" s="111" customFormat="1">
      <c r="A14" s="109">
        <v>3</v>
      </c>
      <c r="B14" s="108" t="s">
        <v>157</v>
      </c>
      <c r="C14" s="23" t="s">
        <v>156</v>
      </c>
      <c r="D14" s="24" t="s">
        <v>16</v>
      </c>
      <c r="E14" s="25"/>
      <c r="F14" s="25">
        <f>351.9*0.2</f>
        <v>70.38</v>
      </c>
      <c r="G14" s="26"/>
      <c r="H14" s="27"/>
      <c r="I14" s="27"/>
      <c r="J14" s="28"/>
      <c r="K14" s="28"/>
      <c r="L14" s="28"/>
      <c r="M14" s="49"/>
      <c r="N14" s="137"/>
    </row>
    <row r="15" spans="1:14" s="111" customFormat="1">
      <c r="A15" s="112"/>
      <c r="B15" s="59"/>
      <c r="C15" s="30" t="s">
        <v>17</v>
      </c>
      <c r="D15" s="31" t="s">
        <v>18</v>
      </c>
      <c r="E15" s="55">
        <v>1</v>
      </c>
      <c r="F15" s="55">
        <f>E15*F14</f>
        <v>70.38</v>
      </c>
      <c r="G15" s="56"/>
      <c r="H15" s="57"/>
      <c r="I15" s="57"/>
      <c r="J15" s="58">
        <f>I15*F15</f>
        <v>0</v>
      </c>
      <c r="K15" s="58"/>
      <c r="L15" s="28"/>
      <c r="M15" s="49">
        <f>H15+J15+L15</f>
        <v>0</v>
      </c>
      <c r="N15" s="137"/>
    </row>
    <row r="16" spans="1:14" s="111" customFormat="1">
      <c r="A16" s="109"/>
      <c r="B16" s="22"/>
      <c r="C16" s="50" t="s">
        <v>30</v>
      </c>
      <c r="D16" s="47" t="s">
        <v>25</v>
      </c>
      <c r="E16" s="32">
        <v>4.3</v>
      </c>
      <c r="F16" s="32">
        <f>E16*F14</f>
        <v>302.63399999999996</v>
      </c>
      <c r="G16" s="27"/>
      <c r="H16" s="27"/>
      <c r="I16" s="27"/>
      <c r="J16" s="28"/>
      <c r="K16" s="28"/>
      <c r="L16" s="28">
        <f>K16*F16</f>
        <v>0</v>
      </c>
      <c r="M16" s="49">
        <f t="shared" ref="M16" si="2">H16+J16+L16</f>
        <v>0</v>
      </c>
      <c r="N16" s="137"/>
    </row>
    <row r="17" spans="1:14" s="111" customFormat="1" ht="18">
      <c r="A17" s="109"/>
      <c r="B17" s="22"/>
      <c r="C17" s="110" t="s">
        <v>92</v>
      </c>
      <c r="D17" s="33"/>
      <c r="E17" s="32"/>
      <c r="F17" s="32"/>
      <c r="G17" s="27"/>
      <c r="H17" s="27"/>
      <c r="I17" s="27"/>
      <c r="J17" s="28"/>
      <c r="K17" s="28"/>
      <c r="L17" s="28"/>
      <c r="M17" s="49"/>
      <c r="N17" s="137"/>
    </row>
    <row r="18" spans="1:14" s="111" customFormat="1">
      <c r="A18" s="109">
        <v>4</v>
      </c>
      <c r="B18" s="53" t="s">
        <v>32</v>
      </c>
      <c r="C18" s="23" t="s">
        <v>33</v>
      </c>
      <c r="D18" s="24" t="s">
        <v>27</v>
      </c>
      <c r="E18" s="25"/>
      <c r="F18" s="25">
        <f>277.5+283.6+2863.2+145.8</f>
        <v>3570.1</v>
      </c>
      <c r="G18" s="26"/>
      <c r="H18" s="27"/>
      <c r="I18" s="27"/>
      <c r="J18" s="28"/>
      <c r="K18" s="28"/>
      <c r="L18" s="28"/>
      <c r="M18" s="49"/>
      <c r="N18" s="137"/>
    </row>
    <row r="19" spans="1:14" s="111" customFormat="1">
      <c r="A19" s="112"/>
      <c r="B19" s="54"/>
      <c r="C19" s="30" t="s">
        <v>17</v>
      </c>
      <c r="D19" s="31" t="s">
        <v>18</v>
      </c>
      <c r="E19" s="55">
        <v>1</v>
      </c>
      <c r="F19" s="55">
        <f>E19*F18</f>
        <v>3570.1</v>
      </c>
      <c r="G19" s="56"/>
      <c r="H19" s="57"/>
      <c r="I19" s="57"/>
      <c r="J19" s="58">
        <f>I19*F19</f>
        <v>0</v>
      </c>
      <c r="K19" s="58"/>
      <c r="L19" s="28"/>
      <c r="M19" s="49">
        <f t="shared" ref="M19:M86" si="3">H19+J19+L19</f>
        <v>0</v>
      </c>
      <c r="N19" s="137"/>
    </row>
    <row r="20" spans="1:14" s="111" customFormat="1">
      <c r="A20" s="109"/>
      <c r="B20" s="22"/>
      <c r="C20" s="50" t="s">
        <v>30</v>
      </c>
      <c r="D20" s="47" t="s">
        <v>25</v>
      </c>
      <c r="E20" s="32">
        <f>(0.95+0.23+0.23+0.23+0.23+0.23+0.23+2.3)/100</f>
        <v>4.6300000000000001E-2</v>
      </c>
      <c r="F20" s="32">
        <f>E20*F18</f>
        <v>165.29562999999999</v>
      </c>
      <c r="G20" s="27"/>
      <c r="H20" s="27"/>
      <c r="I20" s="27"/>
      <c r="J20" s="28"/>
      <c r="K20" s="28"/>
      <c r="L20" s="28">
        <f>K20*F20</f>
        <v>0</v>
      </c>
      <c r="M20" s="49">
        <f t="shared" si="3"/>
        <v>0</v>
      </c>
      <c r="N20" s="137"/>
    </row>
    <row r="21" spans="1:14" s="111" customFormat="1">
      <c r="A21" s="109"/>
      <c r="B21" s="22"/>
      <c r="C21" s="50" t="s">
        <v>87</v>
      </c>
      <c r="D21" s="47" t="s">
        <v>27</v>
      </c>
      <c r="E21" s="32">
        <v>1.1000000000000001</v>
      </c>
      <c r="F21" s="32">
        <f>E21*F18</f>
        <v>3927.11</v>
      </c>
      <c r="G21" s="27"/>
      <c r="H21" s="27">
        <f t="shared" ref="H21:H29" si="4">G21*F21</f>
        <v>0</v>
      </c>
      <c r="I21" s="27"/>
      <c r="J21" s="28"/>
      <c r="K21" s="28"/>
      <c r="L21" s="28"/>
      <c r="M21" s="49">
        <f t="shared" si="3"/>
        <v>0</v>
      </c>
      <c r="N21" s="137"/>
    </row>
    <row r="22" spans="1:14" s="111" customFormat="1">
      <c r="A22" s="109"/>
      <c r="B22" s="22" t="s">
        <v>89</v>
      </c>
      <c r="C22" s="50" t="s">
        <v>88</v>
      </c>
      <c r="D22" s="47" t="s">
        <v>27</v>
      </c>
      <c r="E22" s="32">
        <v>1.1000000000000001</v>
      </c>
      <c r="F22" s="32">
        <f>E22*F19</f>
        <v>3927.11</v>
      </c>
      <c r="G22" s="27"/>
      <c r="H22" s="27">
        <f t="shared" si="4"/>
        <v>0</v>
      </c>
      <c r="I22" s="27"/>
      <c r="J22" s="28"/>
      <c r="K22" s="28"/>
      <c r="L22" s="28"/>
      <c r="M22" s="49">
        <f t="shared" si="3"/>
        <v>0</v>
      </c>
      <c r="N22" s="137"/>
    </row>
    <row r="23" spans="1:14" s="111" customFormat="1">
      <c r="A23" s="109"/>
      <c r="B23" s="22"/>
      <c r="C23" s="50" t="s">
        <v>90</v>
      </c>
      <c r="D23" s="47" t="s">
        <v>19</v>
      </c>
      <c r="E23" s="32">
        <v>6</v>
      </c>
      <c r="F23" s="32">
        <f>E23*F18</f>
        <v>21420.6</v>
      </c>
      <c r="G23" s="27"/>
      <c r="H23" s="27">
        <f t="shared" si="4"/>
        <v>0</v>
      </c>
      <c r="I23" s="27"/>
      <c r="J23" s="28"/>
      <c r="K23" s="28"/>
      <c r="L23" s="28"/>
      <c r="M23" s="49">
        <f t="shared" si="3"/>
        <v>0</v>
      </c>
      <c r="N23" s="137"/>
    </row>
    <row r="24" spans="1:14" s="111" customFormat="1">
      <c r="A24" s="109"/>
      <c r="B24" s="22" t="s">
        <v>85</v>
      </c>
      <c r="C24" s="50" t="s">
        <v>86</v>
      </c>
      <c r="D24" s="47" t="s">
        <v>27</v>
      </c>
      <c r="E24" s="32">
        <v>1.03</v>
      </c>
      <c r="F24" s="32">
        <f>277.5+283.6+145.8</f>
        <v>706.90000000000009</v>
      </c>
      <c r="G24" s="27"/>
      <c r="H24" s="27">
        <f t="shared" si="4"/>
        <v>0</v>
      </c>
      <c r="I24" s="27"/>
      <c r="J24" s="28"/>
      <c r="K24" s="28"/>
      <c r="L24" s="28"/>
      <c r="M24" s="49">
        <f t="shared" si="3"/>
        <v>0</v>
      </c>
      <c r="N24" s="137"/>
    </row>
    <row r="25" spans="1:14" s="111" customFormat="1">
      <c r="A25" s="109"/>
      <c r="B25" s="22" t="s">
        <v>84</v>
      </c>
      <c r="C25" s="50" t="s">
        <v>83</v>
      </c>
      <c r="D25" s="47" t="s">
        <v>27</v>
      </c>
      <c r="E25" s="32">
        <v>1.03</v>
      </c>
      <c r="F25" s="32">
        <f>2863.2*E25</f>
        <v>2949.096</v>
      </c>
      <c r="G25" s="27"/>
      <c r="H25" s="27">
        <f t="shared" si="4"/>
        <v>0</v>
      </c>
      <c r="I25" s="27"/>
      <c r="J25" s="28"/>
      <c r="K25" s="28"/>
      <c r="L25" s="28"/>
      <c r="M25" s="49">
        <f t="shared" si="3"/>
        <v>0</v>
      </c>
      <c r="N25" s="137"/>
    </row>
    <row r="26" spans="1:14" s="111" customFormat="1">
      <c r="A26" s="109"/>
      <c r="B26" s="22"/>
      <c r="C26" s="50" t="s">
        <v>34</v>
      </c>
      <c r="D26" s="47" t="s">
        <v>16</v>
      </c>
      <c r="E26" s="32">
        <f>(2.04+0.51+0.51+0.51+0.51+0.51+0.51)/100</f>
        <v>5.099999999999999E-2</v>
      </c>
      <c r="F26" s="32">
        <f>E26*F18</f>
        <v>182.07509999999996</v>
      </c>
      <c r="G26" s="27"/>
      <c r="H26" s="27">
        <f t="shared" si="4"/>
        <v>0</v>
      </c>
      <c r="I26" s="27"/>
      <c r="J26" s="28"/>
      <c r="K26" s="28"/>
      <c r="L26" s="28">
        <f>K26*F26</f>
        <v>0</v>
      </c>
      <c r="M26" s="49">
        <f t="shared" si="3"/>
        <v>0</v>
      </c>
      <c r="N26" s="137"/>
    </row>
    <row r="27" spans="1:14" s="111" customFormat="1">
      <c r="A27" s="109"/>
      <c r="B27" s="22"/>
      <c r="C27" s="50" t="s">
        <v>110</v>
      </c>
      <c r="D27" s="47" t="s">
        <v>27</v>
      </c>
      <c r="E27" s="32"/>
      <c r="F27" s="32">
        <v>15.5</v>
      </c>
      <c r="G27" s="27"/>
      <c r="H27" s="27">
        <f t="shared" si="4"/>
        <v>0</v>
      </c>
      <c r="I27" s="27"/>
      <c r="J27" s="28"/>
      <c r="K27" s="28"/>
      <c r="L27" s="28"/>
      <c r="M27" s="49">
        <f t="shared" si="3"/>
        <v>0</v>
      </c>
      <c r="N27" s="137"/>
    </row>
    <row r="28" spans="1:14" s="111" customFormat="1" ht="30">
      <c r="A28" s="109"/>
      <c r="B28" s="22"/>
      <c r="C28" s="50" t="s">
        <v>111</v>
      </c>
      <c r="D28" s="107" t="s">
        <v>20</v>
      </c>
      <c r="E28" s="32"/>
      <c r="F28" s="32">
        <f>148.6*5</f>
        <v>743</v>
      </c>
      <c r="G28" s="27"/>
      <c r="H28" s="27">
        <f t="shared" si="4"/>
        <v>0</v>
      </c>
      <c r="I28" s="27"/>
      <c r="J28" s="28"/>
      <c r="K28" s="28"/>
      <c r="L28" s="28"/>
      <c r="M28" s="406">
        <f t="shared" si="3"/>
        <v>0</v>
      </c>
      <c r="N28" s="137"/>
    </row>
    <row r="29" spans="1:14" s="111" customFormat="1">
      <c r="A29" s="109"/>
      <c r="B29" s="22"/>
      <c r="C29" s="30" t="s">
        <v>21</v>
      </c>
      <c r="D29" s="33" t="s">
        <v>25</v>
      </c>
      <c r="E29" s="32">
        <f>6.36/100</f>
        <v>6.3600000000000004E-2</v>
      </c>
      <c r="F29" s="32">
        <f>E29*F18</f>
        <v>227.05836000000002</v>
      </c>
      <c r="G29" s="27"/>
      <c r="H29" s="27">
        <f t="shared" si="4"/>
        <v>0</v>
      </c>
      <c r="I29" s="27"/>
      <c r="J29" s="28"/>
      <c r="K29" s="28"/>
      <c r="L29" s="28"/>
      <c r="M29" s="49">
        <f t="shared" si="3"/>
        <v>0</v>
      </c>
      <c r="N29" s="137"/>
    </row>
    <row r="30" spans="1:14" s="111" customFormat="1" ht="30">
      <c r="A30" s="109">
        <v>5</v>
      </c>
      <c r="B30" s="113" t="s">
        <v>94</v>
      </c>
      <c r="C30" s="23" t="s">
        <v>93</v>
      </c>
      <c r="D30" s="24" t="s">
        <v>27</v>
      </c>
      <c r="E30" s="25"/>
      <c r="F30" s="25">
        <f>1666.4+32.6+38.6</f>
        <v>1737.6</v>
      </c>
      <c r="G30" s="26"/>
      <c r="H30" s="27"/>
      <c r="I30" s="27"/>
      <c r="J30" s="28"/>
      <c r="K30" s="28"/>
      <c r="L30" s="28"/>
      <c r="M30" s="49"/>
      <c r="N30" s="137"/>
    </row>
    <row r="31" spans="1:14" s="111" customFormat="1">
      <c r="A31" s="112"/>
      <c r="B31" s="54"/>
      <c r="C31" s="30" t="s">
        <v>17</v>
      </c>
      <c r="D31" s="31" t="s">
        <v>18</v>
      </c>
      <c r="E31" s="55">
        <v>1</v>
      </c>
      <c r="F31" s="55">
        <f>E31*F30</f>
        <v>1737.6</v>
      </c>
      <c r="G31" s="56"/>
      <c r="H31" s="57"/>
      <c r="I31" s="57"/>
      <c r="J31" s="58">
        <f>I31*F31</f>
        <v>0</v>
      </c>
      <c r="K31" s="58"/>
      <c r="L31" s="28"/>
      <c r="M31" s="49">
        <f t="shared" ref="M31:M37" si="5">H31+J31+L31</f>
        <v>0</v>
      </c>
      <c r="N31" s="137"/>
    </row>
    <row r="32" spans="1:14" s="111" customFormat="1">
      <c r="A32" s="109"/>
      <c r="B32" s="22"/>
      <c r="C32" s="50" t="s">
        <v>30</v>
      </c>
      <c r="D32" s="47" t="s">
        <v>25</v>
      </c>
      <c r="E32" s="32">
        <v>3.4000000000000002E-2</v>
      </c>
      <c r="F32" s="32">
        <f>E32*F30</f>
        <v>59.078400000000002</v>
      </c>
      <c r="G32" s="27"/>
      <c r="H32" s="27"/>
      <c r="I32" s="27"/>
      <c r="J32" s="28"/>
      <c r="K32" s="28"/>
      <c r="L32" s="28">
        <f>K32*F32</f>
        <v>0</v>
      </c>
      <c r="M32" s="49">
        <f t="shared" si="5"/>
        <v>0</v>
      </c>
      <c r="N32" s="137"/>
    </row>
    <row r="33" spans="1:14" s="111" customFormat="1">
      <c r="A33" s="109"/>
      <c r="B33" s="22" t="s">
        <v>113</v>
      </c>
      <c r="C33" s="50" t="s">
        <v>95</v>
      </c>
      <c r="D33" s="47" t="s">
        <v>20</v>
      </c>
      <c r="E33" s="32">
        <v>0.5</v>
      </c>
      <c r="F33" s="32">
        <f>E33*F30</f>
        <v>868.8</v>
      </c>
      <c r="G33" s="27"/>
      <c r="H33" s="27">
        <f>G33*F33</f>
        <v>0</v>
      </c>
      <c r="I33" s="27"/>
      <c r="J33" s="28"/>
      <c r="K33" s="28"/>
      <c r="L33" s="28"/>
      <c r="M33" s="49">
        <f t="shared" si="5"/>
        <v>0</v>
      </c>
      <c r="N33" s="137"/>
    </row>
    <row r="34" spans="1:14" s="111" customFormat="1">
      <c r="A34" s="109"/>
      <c r="B34" s="22" t="s">
        <v>97</v>
      </c>
      <c r="C34" s="50" t="s">
        <v>96</v>
      </c>
      <c r="D34" s="47" t="s">
        <v>27</v>
      </c>
      <c r="E34" s="32">
        <v>1.0149999999999999</v>
      </c>
      <c r="F34" s="32">
        <f>E34*F30</f>
        <v>1763.6639999999998</v>
      </c>
      <c r="G34" s="27"/>
      <c r="H34" s="27">
        <f>G34*F34</f>
        <v>0</v>
      </c>
      <c r="I34" s="27"/>
      <c r="J34" s="28"/>
      <c r="K34" s="28"/>
      <c r="L34" s="28"/>
      <c r="M34" s="49">
        <f t="shared" si="5"/>
        <v>0</v>
      </c>
      <c r="N34" s="137"/>
    </row>
    <row r="35" spans="1:14" s="111" customFormat="1">
      <c r="A35" s="109"/>
      <c r="B35" s="22" t="s">
        <v>100</v>
      </c>
      <c r="C35" s="50" t="s">
        <v>98</v>
      </c>
      <c r="D35" s="47" t="s">
        <v>99</v>
      </c>
      <c r="E35" s="32">
        <v>1.07</v>
      </c>
      <c r="F35" s="32">
        <f>E35*F30</f>
        <v>1859.232</v>
      </c>
      <c r="G35" s="27"/>
      <c r="H35" s="27">
        <f>G35*F35</f>
        <v>0</v>
      </c>
      <c r="I35" s="27"/>
      <c r="J35" s="28"/>
      <c r="K35" s="28"/>
      <c r="L35" s="28"/>
      <c r="M35" s="49">
        <f t="shared" si="5"/>
        <v>0</v>
      </c>
      <c r="N35" s="137"/>
    </row>
    <row r="36" spans="1:14" s="111" customFormat="1">
      <c r="A36" s="109"/>
      <c r="B36" s="22" t="s">
        <v>102</v>
      </c>
      <c r="C36" s="50" t="s">
        <v>101</v>
      </c>
      <c r="D36" s="47" t="s">
        <v>27</v>
      </c>
      <c r="E36" s="32">
        <v>1.0149999999999999</v>
      </c>
      <c r="F36" s="32">
        <f>E36*F30</f>
        <v>1763.6639999999998</v>
      </c>
      <c r="G36" s="27"/>
      <c r="H36" s="27">
        <f>G36*F36</f>
        <v>0</v>
      </c>
      <c r="I36" s="27"/>
      <c r="J36" s="28"/>
      <c r="K36" s="28"/>
      <c r="L36" s="28"/>
      <c r="M36" s="49">
        <f t="shared" si="5"/>
        <v>0</v>
      </c>
      <c r="N36" s="137"/>
    </row>
    <row r="37" spans="1:14" s="111" customFormat="1">
      <c r="A37" s="109"/>
      <c r="B37" s="22"/>
      <c r="C37" s="30" t="s">
        <v>21</v>
      </c>
      <c r="D37" s="33" t="s">
        <v>25</v>
      </c>
      <c r="E37" s="32">
        <v>0.182</v>
      </c>
      <c r="F37" s="32">
        <f>E37*F30</f>
        <v>316.2432</v>
      </c>
      <c r="G37" s="27"/>
      <c r="H37" s="27">
        <f>G37*F37</f>
        <v>0</v>
      </c>
      <c r="I37" s="27"/>
      <c r="J37" s="28"/>
      <c r="K37" s="28"/>
      <c r="L37" s="28"/>
      <c r="M37" s="49">
        <f t="shared" si="5"/>
        <v>0</v>
      </c>
      <c r="N37" s="137"/>
    </row>
    <row r="38" spans="1:14" s="111" customFormat="1">
      <c r="A38" s="109">
        <v>6</v>
      </c>
      <c r="B38" s="113" t="s">
        <v>103</v>
      </c>
      <c r="C38" s="23" t="s">
        <v>104</v>
      </c>
      <c r="D38" s="24" t="s">
        <v>27</v>
      </c>
      <c r="E38" s="25"/>
      <c r="F38" s="25">
        <v>95.6</v>
      </c>
      <c r="G38" s="26"/>
      <c r="H38" s="27"/>
      <c r="I38" s="27"/>
      <c r="J38" s="28"/>
      <c r="K38" s="28"/>
      <c r="L38" s="28"/>
      <c r="M38" s="49"/>
      <c r="N38" s="137"/>
    </row>
    <row r="39" spans="1:14" s="111" customFormat="1">
      <c r="A39" s="112"/>
      <c r="B39" s="54"/>
      <c r="C39" s="30" t="s">
        <v>17</v>
      </c>
      <c r="D39" s="31" t="s">
        <v>18</v>
      </c>
      <c r="E39" s="55">
        <v>1</v>
      </c>
      <c r="F39" s="55">
        <f>E39*F38</f>
        <v>95.6</v>
      </c>
      <c r="G39" s="56"/>
      <c r="H39" s="57"/>
      <c r="I39" s="57"/>
      <c r="J39" s="58">
        <f>I39*F39</f>
        <v>0</v>
      </c>
      <c r="K39" s="58"/>
      <c r="L39" s="28"/>
      <c r="M39" s="49">
        <f t="shared" ref="M39:M43" si="6">H39+J39+L39</f>
        <v>0</v>
      </c>
      <c r="N39" s="137"/>
    </row>
    <row r="40" spans="1:14" s="111" customFormat="1">
      <c r="A40" s="109"/>
      <c r="B40" s="22"/>
      <c r="C40" s="50" t="s">
        <v>30</v>
      </c>
      <c r="D40" s="47" t="s">
        <v>25</v>
      </c>
      <c r="E40" s="32">
        <v>7.4999999999999997E-3</v>
      </c>
      <c r="F40" s="32">
        <f>E40*F38</f>
        <v>0.71699999999999997</v>
      </c>
      <c r="G40" s="27"/>
      <c r="H40" s="27"/>
      <c r="I40" s="27"/>
      <c r="J40" s="28"/>
      <c r="K40" s="28"/>
      <c r="L40" s="28">
        <f>K40*F40</f>
        <v>0</v>
      </c>
      <c r="M40" s="49">
        <f t="shared" si="6"/>
        <v>0</v>
      </c>
      <c r="N40" s="137"/>
    </row>
    <row r="41" spans="1:14" s="111" customFormat="1">
      <c r="A41" s="109"/>
      <c r="B41" s="22"/>
      <c r="C41" s="50" t="s">
        <v>95</v>
      </c>
      <c r="D41" s="47" t="s">
        <v>20</v>
      </c>
      <c r="E41" s="32">
        <v>0.5</v>
      </c>
      <c r="F41" s="32">
        <f>E41*F38</f>
        <v>47.8</v>
      </c>
      <c r="G41" s="27"/>
      <c r="H41" s="27">
        <f>G41*F41</f>
        <v>0</v>
      </c>
      <c r="I41" s="27"/>
      <c r="J41" s="28"/>
      <c r="K41" s="28"/>
      <c r="L41" s="28"/>
      <c r="M41" s="49">
        <f t="shared" si="6"/>
        <v>0</v>
      </c>
      <c r="N41" s="137"/>
    </row>
    <row r="42" spans="1:14" s="111" customFormat="1">
      <c r="A42" s="109"/>
      <c r="B42" s="22"/>
      <c r="C42" s="50" t="s">
        <v>105</v>
      </c>
      <c r="D42" s="47" t="s">
        <v>27</v>
      </c>
      <c r="E42" s="32">
        <v>1.0149999999999999</v>
      </c>
      <c r="F42" s="32">
        <f>E42*F38</f>
        <v>97.033999999999992</v>
      </c>
      <c r="G42" s="27"/>
      <c r="H42" s="27">
        <f>G42*F42</f>
        <v>0</v>
      </c>
      <c r="I42" s="27"/>
      <c r="J42" s="28"/>
      <c r="K42" s="28"/>
      <c r="L42" s="28"/>
      <c r="M42" s="49">
        <f t="shared" si="6"/>
        <v>0</v>
      </c>
      <c r="N42" s="137"/>
    </row>
    <row r="43" spans="1:14" s="111" customFormat="1">
      <c r="A43" s="109"/>
      <c r="B43" s="22"/>
      <c r="C43" s="30" t="s">
        <v>21</v>
      </c>
      <c r="D43" s="33" t="s">
        <v>25</v>
      </c>
      <c r="E43" s="32">
        <v>0.182</v>
      </c>
      <c r="F43" s="32">
        <f>E43*F38</f>
        <v>17.399199999999997</v>
      </c>
      <c r="G43" s="27"/>
      <c r="H43" s="27">
        <f>G43*F43</f>
        <v>0</v>
      </c>
      <c r="I43" s="27"/>
      <c r="J43" s="28"/>
      <c r="K43" s="28"/>
      <c r="L43" s="28"/>
      <c r="M43" s="49">
        <f t="shared" si="6"/>
        <v>0</v>
      </c>
      <c r="N43" s="137"/>
    </row>
    <row r="44" spans="1:14" s="111" customFormat="1" ht="30">
      <c r="A44" s="109">
        <v>7</v>
      </c>
      <c r="B44" s="113" t="s">
        <v>108</v>
      </c>
      <c r="C44" s="23" t="s">
        <v>107</v>
      </c>
      <c r="D44" s="24" t="s">
        <v>27</v>
      </c>
      <c r="E44" s="25"/>
      <c r="F44" s="25">
        <v>133.9</v>
      </c>
      <c r="G44" s="26"/>
      <c r="H44" s="27"/>
      <c r="I44" s="27"/>
      <c r="J44" s="28"/>
      <c r="K44" s="28"/>
      <c r="L44" s="28"/>
      <c r="M44" s="49"/>
      <c r="N44" s="137"/>
    </row>
    <row r="45" spans="1:14" s="111" customFormat="1">
      <c r="A45" s="112"/>
      <c r="B45" s="54"/>
      <c r="C45" s="30" t="s">
        <v>17</v>
      </c>
      <c r="D45" s="31" t="s">
        <v>18</v>
      </c>
      <c r="E45" s="55">
        <v>1</v>
      </c>
      <c r="F45" s="55">
        <f>E45*F44</f>
        <v>133.9</v>
      </c>
      <c r="G45" s="56"/>
      <c r="H45" s="57"/>
      <c r="I45" s="57"/>
      <c r="J45" s="58">
        <f>I45*F45</f>
        <v>0</v>
      </c>
      <c r="K45" s="58"/>
      <c r="L45" s="28"/>
      <c r="M45" s="49">
        <f t="shared" ref="M45:M48" si="7">H45+J45+L45</f>
        <v>0</v>
      </c>
      <c r="N45" s="137"/>
    </row>
    <row r="46" spans="1:14" s="111" customFormat="1">
      <c r="A46" s="109"/>
      <c r="B46" s="22"/>
      <c r="C46" s="50" t="s">
        <v>30</v>
      </c>
      <c r="D46" s="47" t="s">
        <v>25</v>
      </c>
      <c r="E46" s="32">
        <v>0.32400000000000001</v>
      </c>
      <c r="F46" s="32">
        <f>E46*F44</f>
        <v>43.383600000000001</v>
      </c>
      <c r="G46" s="27"/>
      <c r="H46" s="27"/>
      <c r="I46" s="27"/>
      <c r="J46" s="28"/>
      <c r="K46" s="28"/>
      <c r="L46" s="28">
        <f>K46*F46</f>
        <v>0</v>
      </c>
      <c r="M46" s="49">
        <f t="shared" si="7"/>
        <v>0</v>
      </c>
      <c r="N46" s="137"/>
    </row>
    <row r="47" spans="1:14" s="111" customFormat="1">
      <c r="A47" s="109"/>
      <c r="B47" s="22"/>
      <c r="C47" s="50" t="s">
        <v>109</v>
      </c>
      <c r="D47" s="47" t="s">
        <v>78</v>
      </c>
      <c r="E47" s="32">
        <f>(355+232+71+1050)/1000/100</f>
        <v>1.7079999999999998E-2</v>
      </c>
      <c r="F47" s="32">
        <f>E47*F44</f>
        <v>2.2870119999999998</v>
      </c>
      <c r="G47" s="27"/>
      <c r="H47" s="27">
        <f>G47*F47</f>
        <v>0</v>
      </c>
      <c r="I47" s="27"/>
      <c r="J47" s="28"/>
      <c r="K47" s="28"/>
      <c r="L47" s="28"/>
      <c r="M47" s="49">
        <f t="shared" si="7"/>
        <v>0</v>
      </c>
      <c r="N47" s="137"/>
    </row>
    <row r="48" spans="1:14" s="111" customFormat="1">
      <c r="A48" s="109"/>
      <c r="B48" s="22"/>
      <c r="C48" s="30" t="s">
        <v>21</v>
      </c>
      <c r="D48" s="33" t="s">
        <v>25</v>
      </c>
      <c r="E48" s="32">
        <f>0.0016</f>
        <v>1.6000000000000001E-3</v>
      </c>
      <c r="F48" s="32">
        <f>E48*F44</f>
        <v>0.21424000000000001</v>
      </c>
      <c r="G48" s="27"/>
      <c r="H48" s="27">
        <f>G48*F48</f>
        <v>0</v>
      </c>
      <c r="I48" s="27"/>
      <c r="J48" s="28"/>
      <c r="K48" s="28"/>
      <c r="L48" s="28"/>
      <c r="M48" s="49">
        <f t="shared" si="7"/>
        <v>0</v>
      </c>
      <c r="N48" s="137"/>
    </row>
    <row r="49" spans="1:14" s="111" customFormat="1" ht="36.6" customHeight="1">
      <c r="A49" s="109">
        <v>9</v>
      </c>
      <c r="B49" s="113" t="s">
        <v>1024</v>
      </c>
      <c r="C49" s="23" t="s">
        <v>106</v>
      </c>
      <c r="D49" s="24" t="s">
        <v>27</v>
      </c>
      <c r="E49" s="25"/>
      <c r="F49" s="25">
        <f>184.7+42.9+45.7+185.6+2.6+20.8+76.3+612.2+65+23.4+65.2+26.4+F53</f>
        <v>1556.1260000000004</v>
      </c>
      <c r="G49" s="83"/>
      <c r="H49" s="27"/>
      <c r="I49" s="27"/>
      <c r="J49" s="28"/>
      <c r="K49" s="28"/>
      <c r="L49" s="28"/>
      <c r="M49" s="49"/>
      <c r="N49" s="137"/>
    </row>
    <row r="50" spans="1:14" s="111" customFormat="1">
      <c r="A50" s="112"/>
      <c r="B50" s="54"/>
      <c r="C50" s="30" t="s">
        <v>17</v>
      </c>
      <c r="D50" s="31" t="s">
        <v>18</v>
      </c>
      <c r="E50" s="55">
        <v>1</v>
      </c>
      <c r="F50" s="55">
        <f>E50*F49</f>
        <v>1556.1260000000004</v>
      </c>
      <c r="G50" s="84"/>
      <c r="H50" s="57"/>
      <c r="I50" s="57"/>
      <c r="J50" s="58">
        <f>I50*F50</f>
        <v>0</v>
      </c>
      <c r="K50" s="58"/>
      <c r="L50" s="28"/>
      <c r="M50" s="49">
        <f t="shared" ref="M50:M55" si="8">H50+J50+L50</f>
        <v>0</v>
      </c>
      <c r="N50" s="137"/>
    </row>
    <row r="51" spans="1:14" s="111" customFormat="1">
      <c r="A51" s="109"/>
      <c r="B51" s="22"/>
      <c r="C51" s="50" t="s">
        <v>30</v>
      </c>
      <c r="D51" s="47" t="s">
        <v>25</v>
      </c>
      <c r="E51" s="32">
        <v>4.5199999999999997E-2</v>
      </c>
      <c r="F51" s="32">
        <f>E51*F49</f>
        <v>70.336895200000015</v>
      </c>
      <c r="G51" s="85"/>
      <c r="H51" s="27"/>
      <c r="I51" s="27"/>
      <c r="J51" s="28"/>
      <c r="K51" s="28"/>
      <c r="L51" s="28">
        <f>K51*F51</f>
        <v>0</v>
      </c>
      <c r="M51" s="49">
        <f t="shared" si="8"/>
        <v>0</v>
      </c>
      <c r="N51" s="137"/>
    </row>
    <row r="52" spans="1:14" s="111" customFormat="1">
      <c r="A52" s="109"/>
      <c r="B52" s="22"/>
      <c r="C52" s="50" t="s">
        <v>59</v>
      </c>
      <c r="D52" s="47" t="s">
        <v>27</v>
      </c>
      <c r="E52" s="32">
        <v>1.02</v>
      </c>
      <c r="F52" s="32">
        <f>E52*F49</f>
        <v>1587.2485200000006</v>
      </c>
      <c r="G52" s="85"/>
      <c r="H52" s="27">
        <f>G52*F52</f>
        <v>0</v>
      </c>
      <c r="I52" s="27"/>
      <c r="J52" s="28"/>
      <c r="K52" s="28"/>
      <c r="L52" s="28"/>
      <c r="M52" s="49">
        <f t="shared" si="8"/>
        <v>0</v>
      </c>
      <c r="N52" s="137"/>
    </row>
    <row r="53" spans="1:14" s="111" customFormat="1">
      <c r="A53" s="109"/>
      <c r="B53" s="22"/>
      <c r="C53" s="50" t="s">
        <v>1025</v>
      </c>
      <c r="D53" s="47" t="s">
        <v>27</v>
      </c>
      <c r="E53" s="32">
        <v>1.02</v>
      </c>
      <c r="F53" s="32">
        <f>201.3*E53</f>
        <v>205.32600000000002</v>
      </c>
      <c r="G53" s="85"/>
      <c r="H53" s="27">
        <f>G53*F53</f>
        <v>0</v>
      </c>
      <c r="I53" s="27"/>
      <c r="J53" s="28"/>
      <c r="K53" s="28"/>
      <c r="L53" s="28"/>
      <c r="M53" s="49">
        <f t="shared" si="8"/>
        <v>0</v>
      </c>
      <c r="N53" s="137"/>
    </row>
    <row r="54" spans="1:14" s="111" customFormat="1">
      <c r="A54" s="109"/>
      <c r="B54" s="22"/>
      <c r="C54" s="50" t="s">
        <v>34</v>
      </c>
      <c r="D54" s="47" t="s">
        <v>16</v>
      </c>
      <c r="E54" s="32">
        <f>0.0253</f>
        <v>2.53E-2</v>
      </c>
      <c r="F54" s="32">
        <f>E54*F49</f>
        <v>39.369987800000011</v>
      </c>
      <c r="G54" s="85"/>
      <c r="H54" s="27">
        <f>G54*F54</f>
        <v>0</v>
      </c>
      <c r="I54" s="27"/>
      <c r="J54" s="28"/>
      <c r="K54" s="28"/>
      <c r="L54" s="28">
        <f>K54*F54</f>
        <v>0</v>
      </c>
      <c r="M54" s="49">
        <f t="shared" si="8"/>
        <v>0</v>
      </c>
      <c r="N54" s="137"/>
    </row>
    <row r="55" spans="1:14" s="111" customFormat="1">
      <c r="A55" s="109"/>
      <c r="B55" s="22"/>
      <c r="C55" s="30" t="s">
        <v>21</v>
      </c>
      <c r="D55" s="33" t="s">
        <v>25</v>
      </c>
      <c r="E55" s="32">
        <v>4.6600000000000003E-2</v>
      </c>
      <c r="F55" s="32">
        <f>E55*F49</f>
        <v>72.515471600000026</v>
      </c>
      <c r="G55" s="85"/>
      <c r="H55" s="27">
        <f>G55*F55</f>
        <v>0</v>
      </c>
      <c r="I55" s="27"/>
      <c r="J55" s="28"/>
      <c r="K55" s="28"/>
      <c r="L55" s="28"/>
      <c r="M55" s="49">
        <f t="shared" si="8"/>
        <v>0</v>
      </c>
      <c r="N55" s="137"/>
    </row>
    <row r="56" spans="1:14" s="111" customFormat="1" ht="30">
      <c r="A56" s="109">
        <v>7</v>
      </c>
      <c r="B56" s="113" t="s">
        <v>1026</v>
      </c>
      <c r="C56" s="23" t="s">
        <v>1027</v>
      </c>
      <c r="D56" s="24" t="s">
        <v>27</v>
      </c>
      <c r="E56" s="25"/>
      <c r="F56" s="25">
        <v>11.2</v>
      </c>
      <c r="G56" s="26"/>
      <c r="H56" s="27"/>
      <c r="I56" s="27"/>
      <c r="J56" s="28"/>
      <c r="K56" s="28"/>
      <c r="L56" s="28"/>
      <c r="M56" s="49"/>
      <c r="N56" s="137"/>
    </row>
    <row r="57" spans="1:14" s="111" customFormat="1">
      <c r="A57" s="112"/>
      <c r="B57" s="54"/>
      <c r="C57" s="30" t="s">
        <v>17</v>
      </c>
      <c r="D57" s="31" t="s">
        <v>18</v>
      </c>
      <c r="E57" s="55">
        <v>1</v>
      </c>
      <c r="F57" s="55">
        <f>E57*F56</f>
        <v>11.2</v>
      </c>
      <c r="G57" s="56"/>
      <c r="H57" s="57"/>
      <c r="I57" s="57"/>
      <c r="J57" s="58">
        <f>I57*F57</f>
        <v>0</v>
      </c>
      <c r="K57" s="58"/>
      <c r="L57" s="28"/>
      <c r="M57" s="49">
        <f t="shared" ref="M57:M58" si="9">H57+J57+L57</f>
        <v>0</v>
      </c>
      <c r="N57" s="137"/>
    </row>
    <row r="58" spans="1:14" s="111" customFormat="1" ht="30">
      <c r="A58" s="109"/>
      <c r="B58" s="22"/>
      <c r="C58" s="50" t="s">
        <v>1028</v>
      </c>
      <c r="D58" s="107" t="s">
        <v>27</v>
      </c>
      <c r="E58" s="32">
        <v>1</v>
      </c>
      <c r="F58" s="32">
        <f>E58*F56</f>
        <v>11.2</v>
      </c>
      <c r="G58" s="27"/>
      <c r="H58" s="27"/>
      <c r="I58" s="27"/>
      <c r="J58" s="28"/>
      <c r="K58" s="28"/>
      <c r="L58" s="28">
        <f>K58*F58</f>
        <v>0</v>
      </c>
      <c r="M58" s="49">
        <f t="shared" si="9"/>
        <v>0</v>
      </c>
      <c r="N58" s="137"/>
    </row>
    <row r="59" spans="1:14" s="111" customFormat="1" ht="18">
      <c r="A59" s="109"/>
      <c r="B59" s="22"/>
      <c r="C59" s="110" t="s">
        <v>91</v>
      </c>
      <c r="D59" s="33"/>
      <c r="E59" s="32"/>
      <c r="F59" s="32"/>
      <c r="G59" s="27"/>
      <c r="H59" s="27"/>
      <c r="I59" s="27"/>
      <c r="J59" s="28"/>
      <c r="K59" s="28"/>
      <c r="L59" s="28"/>
      <c r="M59" s="49"/>
      <c r="N59" s="137"/>
    </row>
    <row r="60" spans="1:14" s="111" customFormat="1" ht="30">
      <c r="A60" s="109">
        <v>10</v>
      </c>
      <c r="B60" s="22" t="s">
        <v>79</v>
      </c>
      <c r="C60" s="23" t="s">
        <v>74</v>
      </c>
      <c r="D60" s="24" t="s">
        <v>27</v>
      </c>
      <c r="E60" s="25"/>
      <c r="F60" s="25">
        <f>700-630.61</f>
        <v>69.389999999999986</v>
      </c>
      <c r="G60" s="26"/>
      <c r="H60" s="27"/>
      <c r="I60" s="27"/>
      <c r="J60" s="28"/>
      <c r="K60" s="28"/>
      <c r="L60" s="28"/>
      <c r="M60" s="407"/>
      <c r="N60" s="137"/>
    </row>
    <row r="61" spans="1:14" s="111" customFormat="1">
      <c r="A61" s="109"/>
      <c r="B61" s="29"/>
      <c r="C61" s="30" t="s">
        <v>17</v>
      </c>
      <c r="D61" s="31" t="s">
        <v>18</v>
      </c>
      <c r="E61" s="55">
        <v>1</v>
      </c>
      <c r="F61" s="32">
        <f>E61*F62</f>
        <v>15.265799999999999</v>
      </c>
      <c r="G61" s="26"/>
      <c r="H61" s="27"/>
      <c r="I61" s="27"/>
      <c r="J61" s="28">
        <f>I61*F61</f>
        <v>0</v>
      </c>
      <c r="K61" s="28"/>
      <c r="L61" s="28"/>
      <c r="M61" s="407">
        <f t="shared" ref="M61:M65" si="10">L61+J61+H61</f>
        <v>0</v>
      </c>
      <c r="N61" s="137"/>
    </row>
    <row r="62" spans="1:14" s="111" customFormat="1">
      <c r="A62" s="109"/>
      <c r="B62" s="22"/>
      <c r="C62" s="30" t="s">
        <v>75</v>
      </c>
      <c r="D62" s="33" t="s">
        <v>16</v>
      </c>
      <c r="E62" s="32">
        <v>1.1000000000000001</v>
      </c>
      <c r="F62" s="32">
        <f>F60*0.2*E62</f>
        <v>15.265799999999999</v>
      </c>
      <c r="G62" s="27"/>
      <c r="H62" s="27">
        <f>F62*G62</f>
        <v>0</v>
      </c>
      <c r="I62" s="27"/>
      <c r="J62" s="28"/>
      <c r="K62" s="28"/>
      <c r="L62" s="28"/>
      <c r="M62" s="407">
        <f t="shared" si="10"/>
        <v>0</v>
      </c>
      <c r="N62" s="137"/>
    </row>
    <row r="63" spans="1:14" s="111" customFormat="1">
      <c r="A63" s="109"/>
      <c r="B63" s="29"/>
      <c r="C63" s="30" t="s">
        <v>76</v>
      </c>
      <c r="D63" s="31" t="s">
        <v>25</v>
      </c>
      <c r="E63" s="32">
        <v>0.92</v>
      </c>
      <c r="F63" s="32">
        <f>E63*F62</f>
        <v>14.044535999999999</v>
      </c>
      <c r="G63" s="26"/>
      <c r="H63" s="27"/>
      <c r="I63" s="114"/>
      <c r="J63" s="114"/>
      <c r="K63" s="27"/>
      <c r="L63" s="28">
        <f>K63*F63</f>
        <v>0</v>
      </c>
      <c r="M63" s="407">
        <f>L63+J63+H63</f>
        <v>0</v>
      </c>
      <c r="N63" s="137"/>
    </row>
    <row r="64" spans="1:14" s="111" customFormat="1">
      <c r="A64" s="109"/>
      <c r="B64" s="22"/>
      <c r="C64" s="30" t="s">
        <v>34</v>
      </c>
      <c r="D64" s="33" t="s">
        <v>16</v>
      </c>
      <c r="E64" s="34">
        <v>0.11</v>
      </c>
      <c r="F64" s="32">
        <f>F60*E64</f>
        <v>7.6328999999999985</v>
      </c>
      <c r="G64" s="27"/>
      <c r="H64" s="27">
        <f>F64*G64</f>
        <v>0</v>
      </c>
      <c r="I64" s="27"/>
      <c r="J64" s="28"/>
      <c r="K64" s="28"/>
      <c r="L64" s="28"/>
      <c r="M64" s="407">
        <f t="shared" si="10"/>
        <v>0</v>
      </c>
      <c r="N64" s="137"/>
    </row>
    <row r="65" spans="1:14" s="111" customFormat="1" ht="25.15" customHeight="1">
      <c r="A65" s="109"/>
      <c r="B65" s="22"/>
      <c r="C65" s="30" t="s">
        <v>22</v>
      </c>
      <c r="D65" s="33" t="s">
        <v>19</v>
      </c>
      <c r="E65" s="32">
        <f>0.25*0.7</f>
        <v>0.17499999999999999</v>
      </c>
      <c r="F65" s="32">
        <f>F60*E65</f>
        <v>12.143249999999997</v>
      </c>
      <c r="G65" s="27"/>
      <c r="H65" s="27">
        <f>F65*G65</f>
        <v>0</v>
      </c>
      <c r="I65" s="27"/>
      <c r="J65" s="28"/>
      <c r="K65" s="28"/>
      <c r="L65" s="28"/>
      <c r="M65" s="407">
        <f t="shared" si="10"/>
        <v>0</v>
      </c>
      <c r="N65" s="137"/>
    </row>
    <row r="66" spans="1:14" s="116" customFormat="1">
      <c r="A66" s="115"/>
      <c r="B66" s="41"/>
      <c r="C66" s="42" t="s">
        <v>21</v>
      </c>
      <c r="D66" s="43" t="s">
        <v>25</v>
      </c>
      <c r="E66" s="44">
        <v>0.16</v>
      </c>
      <c r="F66" s="44">
        <f>E66*F60</f>
        <v>11.102399999999998</v>
      </c>
      <c r="G66" s="45"/>
      <c r="H66" s="45">
        <f>G66*F66</f>
        <v>0</v>
      </c>
      <c r="I66" s="45"/>
      <c r="J66" s="45"/>
      <c r="K66" s="46"/>
      <c r="L66" s="46"/>
      <c r="M66" s="408">
        <f>L66+J66+H66</f>
        <v>0</v>
      </c>
      <c r="N66" s="411"/>
    </row>
    <row r="67" spans="1:14" s="111" customFormat="1">
      <c r="A67" s="109">
        <v>11</v>
      </c>
      <c r="B67" s="22" t="s">
        <v>80</v>
      </c>
      <c r="C67" s="23" t="s">
        <v>81</v>
      </c>
      <c r="D67" s="24" t="s">
        <v>78</v>
      </c>
      <c r="E67" s="25"/>
      <c r="F67" s="25">
        <f>((133*10.4+50)/1000)/10</f>
        <v>0.14332</v>
      </c>
      <c r="G67" s="26"/>
      <c r="H67" s="27"/>
      <c r="I67" s="27"/>
      <c r="J67" s="28"/>
      <c r="K67" s="28"/>
      <c r="L67" s="28"/>
      <c r="M67" s="407"/>
      <c r="N67" s="137"/>
    </row>
    <row r="68" spans="1:14" s="111" customFormat="1">
      <c r="A68" s="109"/>
      <c r="B68" s="29"/>
      <c r="C68" s="30" t="s">
        <v>17</v>
      </c>
      <c r="D68" s="31" t="s">
        <v>18</v>
      </c>
      <c r="E68" s="55">
        <v>1</v>
      </c>
      <c r="F68" s="32">
        <f>E68*F67</f>
        <v>0.14332</v>
      </c>
      <c r="G68" s="26"/>
      <c r="H68" s="27"/>
      <c r="I68" s="27"/>
      <c r="J68" s="28">
        <f>I68*F68</f>
        <v>0</v>
      </c>
      <c r="K68" s="28"/>
      <c r="L68" s="28"/>
      <c r="M68" s="407">
        <f t="shared" ref="M68:M69" si="11">L68+J68+H68</f>
        <v>0</v>
      </c>
      <c r="N68" s="137"/>
    </row>
    <row r="69" spans="1:14" s="111" customFormat="1">
      <c r="A69" s="109"/>
      <c r="B69" s="22"/>
      <c r="C69" s="30" t="s">
        <v>75</v>
      </c>
      <c r="D69" s="33" t="s">
        <v>16</v>
      </c>
      <c r="E69" s="32">
        <v>1.1000000000000001</v>
      </c>
      <c r="F69" s="32">
        <f>F67*0.2*E69</f>
        <v>3.1530400000000007E-2</v>
      </c>
      <c r="G69" s="27"/>
      <c r="H69" s="27">
        <f>F69*G69</f>
        <v>0</v>
      </c>
      <c r="I69" s="27"/>
      <c r="J69" s="28"/>
      <c r="K69" s="28"/>
      <c r="L69" s="28"/>
      <c r="M69" s="407">
        <f t="shared" si="11"/>
        <v>0</v>
      </c>
      <c r="N69" s="137"/>
    </row>
    <row r="70" spans="1:14" s="111" customFormat="1">
      <c r="A70" s="109"/>
      <c r="B70" s="29"/>
      <c r="C70" s="30" t="s">
        <v>76</v>
      </c>
      <c r="D70" s="31" t="s">
        <v>25</v>
      </c>
      <c r="E70" s="32">
        <v>1.38</v>
      </c>
      <c r="F70" s="32">
        <f>E70*F67</f>
        <v>0.1977816</v>
      </c>
      <c r="G70" s="26"/>
      <c r="H70" s="27"/>
      <c r="I70" s="114"/>
      <c r="J70" s="114"/>
      <c r="K70" s="27"/>
      <c r="L70" s="28">
        <f>K70*F70</f>
        <v>0</v>
      </c>
      <c r="M70" s="407">
        <f>L70+J70+H70</f>
        <v>0</v>
      </c>
      <c r="N70" s="137"/>
    </row>
    <row r="71" spans="1:14" s="111" customFormat="1">
      <c r="A71" s="109"/>
      <c r="B71" s="35"/>
      <c r="C71" s="36" t="s">
        <v>23</v>
      </c>
      <c r="D71" s="37" t="s">
        <v>24</v>
      </c>
      <c r="E71" s="38"/>
      <c r="F71" s="38">
        <f>130/10</f>
        <v>13</v>
      </c>
      <c r="G71" s="39"/>
      <c r="H71" s="39">
        <f>F71*G71</f>
        <v>0</v>
      </c>
      <c r="I71" s="39"/>
      <c r="J71" s="39">
        <f>I71*F71</f>
        <v>0</v>
      </c>
      <c r="K71" s="40"/>
      <c r="L71" s="40">
        <f>K71*F71</f>
        <v>0</v>
      </c>
      <c r="M71" s="409">
        <f>H71+J71+L71</f>
        <v>0</v>
      </c>
      <c r="N71" s="137"/>
    </row>
    <row r="72" spans="1:14" s="111" customFormat="1">
      <c r="A72" s="115"/>
      <c r="B72" s="41"/>
      <c r="C72" s="42" t="s">
        <v>77</v>
      </c>
      <c r="D72" s="43" t="s">
        <v>78</v>
      </c>
      <c r="E72" s="117">
        <v>1.03</v>
      </c>
      <c r="F72" s="117">
        <f>50/1000*E72</f>
        <v>5.1500000000000004E-2</v>
      </c>
      <c r="G72" s="118"/>
      <c r="H72" s="39">
        <f>F72*G72</f>
        <v>0</v>
      </c>
      <c r="I72" s="118"/>
      <c r="J72" s="118"/>
      <c r="K72" s="119"/>
      <c r="L72" s="119"/>
      <c r="M72" s="409">
        <f>H72+J72+L72</f>
        <v>0</v>
      </c>
      <c r="N72" s="137"/>
    </row>
    <row r="73" spans="1:14" s="111" customFormat="1" ht="30">
      <c r="A73" s="109">
        <v>12</v>
      </c>
      <c r="B73" s="113" t="s">
        <v>69</v>
      </c>
      <c r="C73" s="23" t="s">
        <v>67</v>
      </c>
      <c r="D73" s="24" t="s">
        <v>27</v>
      </c>
      <c r="E73" s="25"/>
      <c r="F73" s="25">
        <f>(955.1+306.6+208.9+77.4+292.3-1735.49)*1.15</f>
        <v>120.53150000000019</v>
      </c>
      <c r="G73" s="26"/>
      <c r="H73" s="27"/>
      <c r="I73" s="27"/>
      <c r="J73" s="28"/>
      <c r="K73" s="28"/>
      <c r="L73" s="28"/>
      <c r="M73" s="49"/>
      <c r="N73" s="137"/>
    </row>
    <row r="74" spans="1:14" s="111" customFormat="1" ht="16.5">
      <c r="A74" s="60"/>
      <c r="B74" s="61"/>
      <c r="C74" s="30" t="s">
        <v>35</v>
      </c>
      <c r="D74" s="62" t="s">
        <v>27</v>
      </c>
      <c r="E74" s="55">
        <v>1</v>
      </c>
      <c r="F74" s="64">
        <f>E74*F73</f>
        <v>120.53150000000019</v>
      </c>
      <c r="G74" s="47"/>
      <c r="H74" s="27">
        <f t="shared" ref="H74:H86" si="12">G74*F74</f>
        <v>0</v>
      </c>
      <c r="I74" s="48"/>
      <c r="J74" s="48">
        <f>I74*F74</f>
        <v>0</v>
      </c>
      <c r="K74" s="48"/>
      <c r="L74" s="48"/>
      <c r="M74" s="49">
        <f t="shared" si="3"/>
        <v>0</v>
      </c>
      <c r="N74" s="137"/>
    </row>
    <row r="75" spans="1:14" s="111" customFormat="1" ht="16.5">
      <c r="A75" s="60"/>
      <c r="B75" s="61"/>
      <c r="C75" s="30" t="s">
        <v>36</v>
      </c>
      <c r="D75" s="62" t="s">
        <v>25</v>
      </c>
      <c r="E75" s="65">
        <v>0.10299999999999999</v>
      </c>
      <c r="F75" s="64">
        <f>E75*F73</f>
        <v>12.414744500000019</v>
      </c>
      <c r="G75" s="47"/>
      <c r="H75" s="27">
        <f t="shared" si="12"/>
        <v>0</v>
      </c>
      <c r="I75" s="47"/>
      <c r="J75" s="48"/>
      <c r="K75" s="47"/>
      <c r="L75" s="48">
        <f>K75*F75</f>
        <v>0</v>
      </c>
      <c r="M75" s="49">
        <f t="shared" si="3"/>
        <v>0</v>
      </c>
      <c r="N75" s="137"/>
    </row>
    <row r="76" spans="1:14" s="111" customFormat="1" ht="21" customHeight="1">
      <c r="A76" s="60"/>
      <c r="B76" s="61"/>
      <c r="C76" s="30" t="s">
        <v>37</v>
      </c>
      <c r="D76" s="62" t="s">
        <v>31</v>
      </c>
      <c r="E76" s="63">
        <v>1.3</v>
      </c>
      <c r="F76" s="63">
        <f>E76*F73</f>
        <v>156.69095000000024</v>
      </c>
      <c r="G76" s="66"/>
      <c r="H76" s="27">
        <f t="shared" si="12"/>
        <v>0</v>
      </c>
      <c r="I76" s="47"/>
      <c r="J76" s="48"/>
      <c r="K76" s="47"/>
      <c r="L76" s="48"/>
      <c r="M76" s="49">
        <f t="shared" si="3"/>
        <v>0</v>
      </c>
      <c r="N76" s="137"/>
    </row>
    <row r="77" spans="1:14" s="111" customFormat="1" ht="16.5">
      <c r="A77" s="60"/>
      <c r="B77" s="61"/>
      <c r="C77" s="30" t="s">
        <v>38</v>
      </c>
      <c r="D77" s="62" t="s">
        <v>31</v>
      </c>
      <c r="E77" s="63">
        <v>2</v>
      </c>
      <c r="F77" s="63">
        <f>E77*F73</f>
        <v>241.06300000000039</v>
      </c>
      <c r="G77" s="66"/>
      <c r="H77" s="27">
        <f t="shared" si="12"/>
        <v>0</v>
      </c>
      <c r="I77" s="47"/>
      <c r="J77" s="48"/>
      <c r="K77" s="47"/>
      <c r="L77" s="48"/>
      <c r="M77" s="49">
        <f t="shared" si="3"/>
        <v>0</v>
      </c>
      <c r="N77" s="137"/>
    </row>
    <row r="78" spans="1:14" s="111" customFormat="1" ht="16.5">
      <c r="A78" s="60"/>
      <c r="B78" s="61"/>
      <c r="C78" s="30" t="s">
        <v>39</v>
      </c>
      <c r="D78" s="62" t="s">
        <v>19</v>
      </c>
      <c r="E78" s="63">
        <v>15</v>
      </c>
      <c r="F78" s="63">
        <f>E78*F73</f>
        <v>1807.9725000000028</v>
      </c>
      <c r="G78" s="66"/>
      <c r="H78" s="27">
        <f t="shared" si="12"/>
        <v>0</v>
      </c>
      <c r="I78" s="47"/>
      <c r="J78" s="48"/>
      <c r="K78" s="47"/>
      <c r="L78" s="48"/>
      <c r="M78" s="49">
        <f t="shared" si="3"/>
        <v>0</v>
      </c>
      <c r="N78" s="137"/>
    </row>
    <row r="79" spans="1:14" s="111" customFormat="1" ht="16.5">
      <c r="A79" s="60"/>
      <c r="B79" s="61"/>
      <c r="C79" s="30" t="s">
        <v>40</v>
      </c>
      <c r="D79" s="62" t="s">
        <v>19</v>
      </c>
      <c r="E79" s="63">
        <v>1.5</v>
      </c>
      <c r="F79" s="63">
        <f>E79*F73</f>
        <v>180.7972500000003</v>
      </c>
      <c r="G79" s="66"/>
      <c r="H79" s="27">
        <f t="shared" si="12"/>
        <v>0</v>
      </c>
      <c r="I79" s="47"/>
      <c r="J79" s="48"/>
      <c r="K79" s="47"/>
      <c r="L79" s="48"/>
      <c r="M79" s="49">
        <f t="shared" si="3"/>
        <v>0</v>
      </c>
      <c r="N79" s="137"/>
    </row>
    <row r="80" spans="1:14" s="111" customFormat="1" ht="16.5">
      <c r="A80" s="60"/>
      <c r="B80" s="61"/>
      <c r="C80" s="30" t="s">
        <v>41</v>
      </c>
      <c r="D80" s="62" t="s">
        <v>19</v>
      </c>
      <c r="E80" s="63">
        <v>1</v>
      </c>
      <c r="F80" s="63">
        <f>E80*F73</f>
        <v>120.53150000000019</v>
      </c>
      <c r="G80" s="66"/>
      <c r="H80" s="27">
        <f t="shared" si="12"/>
        <v>0</v>
      </c>
      <c r="I80" s="47"/>
      <c r="J80" s="48"/>
      <c r="K80" s="47"/>
      <c r="L80" s="48"/>
      <c r="M80" s="49">
        <f t="shared" si="3"/>
        <v>0</v>
      </c>
      <c r="N80" s="137"/>
    </row>
    <row r="81" spans="1:14" s="111" customFormat="1" ht="16.5">
      <c r="A81" s="60"/>
      <c r="B81" s="61"/>
      <c r="C81" s="30" t="s">
        <v>42</v>
      </c>
      <c r="D81" s="62" t="s">
        <v>19</v>
      </c>
      <c r="E81" s="63">
        <v>1.5</v>
      </c>
      <c r="F81" s="63">
        <f>E81*F73</f>
        <v>180.7972500000003</v>
      </c>
      <c r="G81" s="66"/>
      <c r="H81" s="27">
        <f t="shared" si="12"/>
        <v>0</v>
      </c>
      <c r="I81" s="47"/>
      <c r="J81" s="48"/>
      <c r="K81" s="47"/>
      <c r="L81" s="48"/>
      <c r="M81" s="49">
        <f t="shared" si="3"/>
        <v>0</v>
      </c>
      <c r="N81" s="137"/>
    </row>
    <row r="82" spans="1:14" s="111" customFormat="1" ht="16.5">
      <c r="A82" s="60"/>
      <c r="B82" s="61"/>
      <c r="C82" s="30" t="s">
        <v>43</v>
      </c>
      <c r="D82" s="62" t="s">
        <v>31</v>
      </c>
      <c r="E82" s="63">
        <v>1.2</v>
      </c>
      <c r="F82" s="63">
        <f>E82*F73</f>
        <v>144.63780000000023</v>
      </c>
      <c r="G82" s="66"/>
      <c r="H82" s="27">
        <f t="shared" si="12"/>
        <v>0</v>
      </c>
      <c r="I82" s="47"/>
      <c r="J82" s="48"/>
      <c r="K82" s="47"/>
      <c r="L82" s="48"/>
      <c r="M82" s="49">
        <f t="shared" si="3"/>
        <v>0</v>
      </c>
      <c r="N82" s="137"/>
    </row>
    <row r="83" spans="1:14" s="111" customFormat="1" ht="16.5">
      <c r="A83" s="60"/>
      <c r="B83" s="61"/>
      <c r="C83" s="67" t="s">
        <v>44</v>
      </c>
      <c r="D83" s="62" t="s">
        <v>27</v>
      </c>
      <c r="E83" s="63">
        <v>2.2000000000000002</v>
      </c>
      <c r="F83" s="63">
        <f>E83*F73</f>
        <v>265.16930000000042</v>
      </c>
      <c r="G83" s="66"/>
      <c r="H83" s="27">
        <f t="shared" si="12"/>
        <v>0</v>
      </c>
      <c r="I83" s="47"/>
      <c r="J83" s="48"/>
      <c r="K83" s="47"/>
      <c r="L83" s="48"/>
      <c r="M83" s="49">
        <f t="shared" si="3"/>
        <v>0</v>
      </c>
      <c r="N83" s="137"/>
    </row>
    <row r="84" spans="1:14" s="111" customFormat="1" ht="16.5">
      <c r="A84" s="60"/>
      <c r="B84" s="61"/>
      <c r="C84" s="67" t="s">
        <v>45</v>
      </c>
      <c r="D84" s="62" t="s">
        <v>27</v>
      </c>
      <c r="E84" s="63">
        <v>4.28</v>
      </c>
      <c r="F84" s="63">
        <f>E84*F73</f>
        <v>515.87482000000091</v>
      </c>
      <c r="G84" s="66"/>
      <c r="H84" s="27">
        <f t="shared" si="12"/>
        <v>0</v>
      </c>
      <c r="I84" s="48"/>
      <c r="J84" s="48"/>
      <c r="K84" s="48"/>
      <c r="L84" s="48"/>
      <c r="M84" s="49">
        <f t="shared" si="3"/>
        <v>0</v>
      </c>
      <c r="N84" s="137"/>
    </row>
    <row r="85" spans="1:14" s="111" customFormat="1" ht="21" customHeight="1">
      <c r="A85" s="60"/>
      <c r="B85" s="61"/>
      <c r="C85" s="67" t="s">
        <v>46</v>
      </c>
      <c r="D85" s="62" t="s">
        <v>20</v>
      </c>
      <c r="E85" s="63">
        <v>0.75</v>
      </c>
      <c r="F85" s="63">
        <f>E85*F73</f>
        <v>90.398625000000152</v>
      </c>
      <c r="G85" s="68"/>
      <c r="H85" s="27">
        <f t="shared" si="12"/>
        <v>0</v>
      </c>
      <c r="I85" s="47"/>
      <c r="J85" s="48"/>
      <c r="K85" s="47"/>
      <c r="L85" s="48"/>
      <c r="M85" s="49">
        <f t="shared" si="3"/>
        <v>0</v>
      </c>
      <c r="N85" s="137"/>
    </row>
    <row r="86" spans="1:14" s="111" customFormat="1" ht="16.5">
      <c r="A86" s="60"/>
      <c r="B86" s="61"/>
      <c r="C86" s="30" t="s">
        <v>47</v>
      </c>
      <c r="D86" s="62" t="s">
        <v>25</v>
      </c>
      <c r="E86" s="69">
        <v>5.6000000000000001E-2</v>
      </c>
      <c r="F86" s="63">
        <f>E86*F73</f>
        <v>6.7497640000000105</v>
      </c>
      <c r="G86" s="66"/>
      <c r="H86" s="27">
        <f t="shared" si="12"/>
        <v>0</v>
      </c>
      <c r="I86" s="47"/>
      <c r="J86" s="48"/>
      <c r="K86" s="47"/>
      <c r="L86" s="48"/>
      <c r="M86" s="49">
        <f t="shared" si="3"/>
        <v>0</v>
      </c>
      <c r="N86" s="137"/>
    </row>
    <row r="87" spans="1:14" s="111" customFormat="1" ht="30">
      <c r="A87" s="109">
        <v>13</v>
      </c>
      <c r="B87" s="53" t="s">
        <v>70</v>
      </c>
      <c r="C87" s="23" t="s">
        <v>67</v>
      </c>
      <c r="D87" s="24" t="s">
        <v>27</v>
      </c>
      <c r="E87" s="25"/>
      <c r="F87" s="25">
        <f>(445.5+189.5-161.37-233.55)*1.15</f>
        <v>276.09199999999998</v>
      </c>
      <c r="G87" s="26"/>
      <c r="H87" s="27"/>
      <c r="I87" s="27"/>
      <c r="J87" s="28"/>
      <c r="K87" s="28"/>
      <c r="L87" s="28"/>
      <c r="M87" s="49"/>
      <c r="N87" s="137"/>
    </row>
    <row r="88" spans="1:14" s="111" customFormat="1" ht="16.5">
      <c r="A88" s="60"/>
      <c r="B88" s="61"/>
      <c r="C88" s="30" t="s">
        <v>35</v>
      </c>
      <c r="D88" s="62" t="s">
        <v>27</v>
      </c>
      <c r="E88" s="55">
        <v>1</v>
      </c>
      <c r="F88" s="64">
        <f>E88*F87</f>
        <v>276.09199999999998</v>
      </c>
      <c r="G88" s="47"/>
      <c r="H88" s="27">
        <f t="shared" ref="H88:H100" si="13">G88*F88</f>
        <v>0</v>
      </c>
      <c r="I88" s="48"/>
      <c r="J88" s="48">
        <f>I88*F88</f>
        <v>0</v>
      </c>
      <c r="K88" s="48"/>
      <c r="L88" s="48"/>
      <c r="M88" s="49">
        <f t="shared" ref="M88:M100" si="14">H88+J88+L88</f>
        <v>0</v>
      </c>
      <c r="N88" s="137"/>
    </row>
    <row r="89" spans="1:14" s="111" customFormat="1" ht="16.5">
      <c r="A89" s="60"/>
      <c r="B89" s="61"/>
      <c r="C89" s="30" t="s">
        <v>36</v>
      </c>
      <c r="D89" s="62" t="s">
        <v>25</v>
      </c>
      <c r="E89" s="65">
        <v>0.10299999999999999</v>
      </c>
      <c r="F89" s="64">
        <f>E89*F87</f>
        <v>28.437475999999997</v>
      </c>
      <c r="G89" s="47"/>
      <c r="H89" s="27">
        <f t="shared" si="13"/>
        <v>0</v>
      </c>
      <c r="I89" s="47"/>
      <c r="J89" s="48"/>
      <c r="K89" s="47"/>
      <c r="L89" s="48">
        <f>K89*F89</f>
        <v>0</v>
      </c>
      <c r="M89" s="49">
        <f t="shared" si="14"/>
        <v>0</v>
      </c>
      <c r="N89" s="137"/>
    </row>
    <row r="90" spans="1:14" s="111" customFormat="1" ht="21" customHeight="1">
      <c r="A90" s="60"/>
      <c r="B90" s="61"/>
      <c r="C90" s="30" t="s">
        <v>37</v>
      </c>
      <c r="D90" s="62" t="s">
        <v>31</v>
      </c>
      <c r="E90" s="63">
        <v>1.3</v>
      </c>
      <c r="F90" s="63">
        <f>E90*F87</f>
        <v>358.9196</v>
      </c>
      <c r="G90" s="66"/>
      <c r="H90" s="27">
        <f t="shared" si="13"/>
        <v>0</v>
      </c>
      <c r="I90" s="47"/>
      <c r="J90" s="48"/>
      <c r="K90" s="47"/>
      <c r="L90" s="48"/>
      <c r="M90" s="49">
        <f t="shared" si="14"/>
        <v>0</v>
      </c>
      <c r="N90" s="137"/>
    </row>
    <row r="91" spans="1:14" s="111" customFormat="1" ht="16.5">
      <c r="A91" s="60"/>
      <c r="B91" s="61"/>
      <c r="C91" s="30" t="s">
        <v>38</v>
      </c>
      <c r="D91" s="62" t="s">
        <v>31</v>
      </c>
      <c r="E91" s="63">
        <v>2</v>
      </c>
      <c r="F91" s="63">
        <f>E91*F87</f>
        <v>552.18399999999997</v>
      </c>
      <c r="G91" s="66"/>
      <c r="H91" s="27">
        <f t="shared" si="13"/>
        <v>0</v>
      </c>
      <c r="I91" s="47"/>
      <c r="J91" s="48"/>
      <c r="K91" s="47"/>
      <c r="L91" s="48"/>
      <c r="M91" s="49">
        <f t="shared" si="14"/>
        <v>0</v>
      </c>
      <c r="N91" s="137"/>
    </row>
    <row r="92" spans="1:14" s="111" customFormat="1" ht="16.5">
      <c r="A92" s="60"/>
      <c r="B92" s="61"/>
      <c r="C92" s="30" t="s">
        <v>39</v>
      </c>
      <c r="D92" s="62" t="s">
        <v>19</v>
      </c>
      <c r="E92" s="63">
        <v>15</v>
      </c>
      <c r="F92" s="63">
        <f>E92*F87</f>
        <v>4141.38</v>
      </c>
      <c r="G92" s="66"/>
      <c r="H92" s="27">
        <f t="shared" si="13"/>
        <v>0</v>
      </c>
      <c r="I92" s="47"/>
      <c r="J92" s="48"/>
      <c r="K92" s="47"/>
      <c r="L92" s="48"/>
      <c r="M92" s="49">
        <f t="shared" si="14"/>
        <v>0</v>
      </c>
      <c r="N92" s="137"/>
    </row>
    <row r="93" spans="1:14" s="111" customFormat="1" ht="16.5">
      <c r="A93" s="60"/>
      <c r="B93" s="61"/>
      <c r="C93" s="30" t="s">
        <v>40</v>
      </c>
      <c r="D93" s="62" t="s">
        <v>19</v>
      </c>
      <c r="E93" s="63">
        <v>1.5</v>
      </c>
      <c r="F93" s="63">
        <f>E93*F87</f>
        <v>414.13799999999998</v>
      </c>
      <c r="G93" s="66"/>
      <c r="H93" s="27">
        <f t="shared" si="13"/>
        <v>0</v>
      </c>
      <c r="I93" s="47"/>
      <c r="J93" s="48"/>
      <c r="K93" s="47"/>
      <c r="L93" s="48"/>
      <c r="M93" s="49">
        <f t="shared" si="14"/>
        <v>0</v>
      </c>
      <c r="N93" s="137"/>
    </row>
    <row r="94" spans="1:14" s="111" customFormat="1" ht="16.5">
      <c r="A94" s="60"/>
      <c r="B94" s="61"/>
      <c r="C94" s="30" t="s">
        <v>41</v>
      </c>
      <c r="D94" s="62" t="s">
        <v>19</v>
      </c>
      <c r="E94" s="63">
        <v>1</v>
      </c>
      <c r="F94" s="63">
        <f>E94*F87</f>
        <v>276.09199999999998</v>
      </c>
      <c r="G94" s="66"/>
      <c r="H94" s="27">
        <f t="shared" si="13"/>
        <v>0</v>
      </c>
      <c r="I94" s="47"/>
      <c r="J94" s="48"/>
      <c r="K94" s="47"/>
      <c r="L94" s="48"/>
      <c r="M94" s="49">
        <f t="shared" si="14"/>
        <v>0</v>
      </c>
      <c r="N94" s="137"/>
    </row>
    <row r="95" spans="1:14" s="111" customFormat="1" ht="16.5">
      <c r="A95" s="60"/>
      <c r="B95" s="61"/>
      <c r="C95" s="30" t="s">
        <v>42</v>
      </c>
      <c r="D95" s="62" t="s">
        <v>19</v>
      </c>
      <c r="E95" s="63">
        <v>1.5</v>
      </c>
      <c r="F95" s="63">
        <f>E95*F87</f>
        <v>414.13799999999998</v>
      </c>
      <c r="G95" s="66"/>
      <c r="H95" s="27">
        <f t="shared" si="13"/>
        <v>0</v>
      </c>
      <c r="I95" s="47"/>
      <c r="J95" s="48"/>
      <c r="K95" s="47"/>
      <c r="L95" s="48"/>
      <c r="M95" s="49">
        <f t="shared" si="14"/>
        <v>0</v>
      </c>
      <c r="N95" s="137"/>
    </row>
    <row r="96" spans="1:14" s="111" customFormat="1" ht="16.5">
      <c r="A96" s="60"/>
      <c r="B96" s="61"/>
      <c r="C96" s="30" t="s">
        <v>43</v>
      </c>
      <c r="D96" s="62" t="s">
        <v>31</v>
      </c>
      <c r="E96" s="63">
        <v>1.2</v>
      </c>
      <c r="F96" s="63">
        <f>E96*F87</f>
        <v>331.31039999999996</v>
      </c>
      <c r="G96" s="66"/>
      <c r="H96" s="27">
        <f t="shared" si="13"/>
        <v>0</v>
      </c>
      <c r="I96" s="47"/>
      <c r="J96" s="48"/>
      <c r="K96" s="47"/>
      <c r="L96" s="48"/>
      <c r="M96" s="49">
        <f t="shared" si="14"/>
        <v>0</v>
      </c>
      <c r="N96" s="137"/>
    </row>
    <row r="97" spans="1:14" s="111" customFormat="1" ht="16.5">
      <c r="A97" s="60"/>
      <c r="B97" s="61"/>
      <c r="C97" s="67" t="s">
        <v>44</v>
      </c>
      <c r="D97" s="62" t="s">
        <v>27</v>
      </c>
      <c r="E97" s="63">
        <v>1.1000000000000001</v>
      </c>
      <c r="F97" s="63">
        <f>E97*F87</f>
        <v>303.70120000000003</v>
      </c>
      <c r="G97" s="66"/>
      <c r="H97" s="27">
        <f t="shared" si="13"/>
        <v>0</v>
      </c>
      <c r="I97" s="47"/>
      <c r="J97" s="48"/>
      <c r="K97" s="47"/>
      <c r="L97" s="48"/>
      <c r="M97" s="49">
        <f t="shared" si="14"/>
        <v>0</v>
      </c>
      <c r="N97" s="137"/>
    </row>
    <row r="98" spans="1:14" s="111" customFormat="1" ht="16.5">
      <c r="A98" s="60"/>
      <c r="B98" s="61"/>
      <c r="C98" s="67" t="s">
        <v>45</v>
      </c>
      <c r="D98" s="62" t="s">
        <v>27</v>
      </c>
      <c r="E98" s="63">
        <v>4.28</v>
      </c>
      <c r="F98" s="63">
        <f>E98*F87</f>
        <v>1181.6737599999999</v>
      </c>
      <c r="G98" s="66"/>
      <c r="H98" s="27">
        <f t="shared" si="13"/>
        <v>0</v>
      </c>
      <c r="I98" s="48"/>
      <c r="J98" s="48"/>
      <c r="K98" s="48"/>
      <c r="L98" s="48"/>
      <c r="M98" s="49">
        <f t="shared" si="14"/>
        <v>0</v>
      </c>
      <c r="N98" s="137"/>
    </row>
    <row r="99" spans="1:14" s="111" customFormat="1" ht="21" customHeight="1">
      <c r="A99" s="60"/>
      <c r="B99" s="61"/>
      <c r="C99" s="67" t="s">
        <v>46</v>
      </c>
      <c r="D99" s="62" t="s">
        <v>20</v>
      </c>
      <c r="E99" s="63">
        <v>0.75</v>
      </c>
      <c r="F99" s="63">
        <f>E99*F87</f>
        <v>207.06899999999999</v>
      </c>
      <c r="G99" s="68"/>
      <c r="H99" s="27">
        <f t="shared" si="13"/>
        <v>0</v>
      </c>
      <c r="I99" s="47"/>
      <c r="J99" s="48"/>
      <c r="K99" s="47"/>
      <c r="L99" s="48"/>
      <c r="M99" s="49">
        <f t="shared" si="14"/>
        <v>0</v>
      </c>
      <c r="N99" s="137"/>
    </row>
    <row r="100" spans="1:14" s="111" customFormat="1" ht="16.5">
      <c r="A100" s="60"/>
      <c r="B100" s="61"/>
      <c r="C100" s="30" t="s">
        <v>47</v>
      </c>
      <c r="D100" s="62" t="s">
        <v>25</v>
      </c>
      <c r="E100" s="69">
        <v>5.6000000000000001E-2</v>
      </c>
      <c r="F100" s="63">
        <f>E100*F87</f>
        <v>15.461152</v>
      </c>
      <c r="G100" s="66"/>
      <c r="H100" s="27">
        <f t="shared" si="13"/>
        <v>0</v>
      </c>
      <c r="I100" s="47"/>
      <c r="J100" s="48"/>
      <c r="K100" s="47"/>
      <c r="L100" s="48"/>
      <c r="M100" s="49">
        <f t="shared" si="14"/>
        <v>0</v>
      </c>
      <c r="N100" s="137"/>
    </row>
    <row r="101" spans="1:14" s="111" customFormat="1" ht="30">
      <c r="A101" s="109">
        <v>14</v>
      </c>
      <c r="B101" s="53" t="s">
        <v>71</v>
      </c>
      <c r="C101" s="23" t="s">
        <v>68</v>
      </c>
      <c r="D101" s="24" t="s">
        <v>27</v>
      </c>
      <c r="E101" s="25"/>
      <c r="F101" s="25">
        <f>(804-785.48)*1.15</f>
        <v>21.297999999999977</v>
      </c>
      <c r="G101" s="26"/>
      <c r="H101" s="27"/>
      <c r="I101" s="27"/>
      <c r="J101" s="28"/>
      <c r="K101" s="28"/>
      <c r="L101" s="28"/>
      <c r="M101" s="49"/>
      <c r="N101" s="137"/>
    </row>
    <row r="102" spans="1:14" s="111" customFormat="1" ht="16.5">
      <c r="A102" s="60"/>
      <c r="B102" s="61"/>
      <c r="C102" s="30" t="s">
        <v>35</v>
      </c>
      <c r="D102" s="62" t="s">
        <v>27</v>
      </c>
      <c r="E102" s="55">
        <v>1</v>
      </c>
      <c r="F102" s="64">
        <f>E102*F101</f>
        <v>21.297999999999977</v>
      </c>
      <c r="G102" s="47"/>
      <c r="H102" s="27">
        <f t="shared" ref="H102:H113" si="15">G102*F102</f>
        <v>0</v>
      </c>
      <c r="I102" s="48"/>
      <c r="J102" s="48">
        <f>I102*F102</f>
        <v>0</v>
      </c>
      <c r="K102" s="48"/>
      <c r="L102" s="48"/>
      <c r="M102" s="49">
        <f t="shared" ref="M102:M113" si="16">H102+J102+L102</f>
        <v>0</v>
      </c>
      <c r="N102" s="137"/>
    </row>
    <row r="103" spans="1:14" s="111" customFormat="1" ht="16.5">
      <c r="A103" s="60"/>
      <c r="B103" s="61"/>
      <c r="C103" s="30" t="s">
        <v>36</v>
      </c>
      <c r="D103" s="62" t="s">
        <v>25</v>
      </c>
      <c r="E103" s="65">
        <v>0.10299999999999999</v>
      </c>
      <c r="F103" s="64">
        <f>E103*F101</f>
        <v>2.1936939999999976</v>
      </c>
      <c r="G103" s="47"/>
      <c r="H103" s="27">
        <f t="shared" si="15"/>
        <v>0</v>
      </c>
      <c r="I103" s="47"/>
      <c r="J103" s="48"/>
      <c r="K103" s="47"/>
      <c r="L103" s="48">
        <f>K103*F103</f>
        <v>0</v>
      </c>
      <c r="M103" s="49">
        <f t="shared" si="16"/>
        <v>0</v>
      </c>
      <c r="N103" s="137"/>
    </row>
    <row r="104" spans="1:14" s="111" customFormat="1" ht="21" customHeight="1">
      <c r="A104" s="60"/>
      <c r="B104" s="61"/>
      <c r="C104" s="30" t="s">
        <v>37</v>
      </c>
      <c r="D104" s="62" t="s">
        <v>31</v>
      </c>
      <c r="E104" s="63">
        <v>1.3</v>
      </c>
      <c r="F104" s="63">
        <f>E104*F101</f>
        <v>27.687399999999972</v>
      </c>
      <c r="G104" s="66"/>
      <c r="H104" s="27">
        <f t="shared" si="15"/>
        <v>0</v>
      </c>
      <c r="I104" s="47"/>
      <c r="J104" s="48"/>
      <c r="K104" s="47"/>
      <c r="L104" s="48"/>
      <c r="M104" s="49">
        <f t="shared" si="16"/>
        <v>0</v>
      </c>
      <c r="N104" s="137"/>
    </row>
    <row r="105" spans="1:14" s="111" customFormat="1" ht="16.5">
      <c r="A105" s="60"/>
      <c r="B105" s="61"/>
      <c r="C105" s="30" t="s">
        <v>38</v>
      </c>
      <c r="D105" s="62" t="s">
        <v>31</v>
      </c>
      <c r="E105" s="63">
        <v>2</v>
      </c>
      <c r="F105" s="63">
        <f>E105*F101</f>
        <v>42.595999999999954</v>
      </c>
      <c r="G105" s="66"/>
      <c r="H105" s="27">
        <f t="shared" si="15"/>
        <v>0</v>
      </c>
      <c r="I105" s="47"/>
      <c r="J105" s="48"/>
      <c r="K105" s="47"/>
      <c r="L105" s="48"/>
      <c r="M105" s="49">
        <f t="shared" si="16"/>
        <v>0</v>
      </c>
      <c r="N105" s="137"/>
    </row>
    <row r="106" spans="1:14" s="111" customFormat="1" ht="16.5">
      <c r="A106" s="60"/>
      <c r="B106" s="61"/>
      <c r="C106" s="30" t="s">
        <v>39</v>
      </c>
      <c r="D106" s="62" t="s">
        <v>19</v>
      </c>
      <c r="E106" s="63">
        <v>15</v>
      </c>
      <c r="F106" s="63">
        <f>E106*F101</f>
        <v>319.46999999999963</v>
      </c>
      <c r="G106" s="66"/>
      <c r="H106" s="27">
        <f t="shared" si="15"/>
        <v>0</v>
      </c>
      <c r="I106" s="47"/>
      <c r="J106" s="48"/>
      <c r="K106" s="47"/>
      <c r="L106" s="48"/>
      <c r="M106" s="49">
        <f t="shared" si="16"/>
        <v>0</v>
      </c>
      <c r="N106" s="137"/>
    </row>
    <row r="107" spans="1:14" s="111" customFormat="1" ht="16.5">
      <c r="A107" s="60"/>
      <c r="B107" s="61"/>
      <c r="C107" s="30" t="s">
        <v>40</v>
      </c>
      <c r="D107" s="62" t="s">
        <v>19</v>
      </c>
      <c r="E107" s="63">
        <v>1.5</v>
      </c>
      <c r="F107" s="63">
        <f>E107*F101</f>
        <v>31.946999999999967</v>
      </c>
      <c r="G107" s="66"/>
      <c r="H107" s="27">
        <f t="shared" si="15"/>
        <v>0</v>
      </c>
      <c r="I107" s="47"/>
      <c r="J107" s="48"/>
      <c r="K107" s="47"/>
      <c r="L107" s="48"/>
      <c r="M107" s="49">
        <f t="shared" si="16"/>
        <v>0</v>
      </c>
      <c r="N107" s="137"/>
    </row>
    <row r="108" spans="1:14" s="111" customFormat="1" ht="16.5">
      <c r="A108" s="60"/>
      <c r="B108" s="61"/>
      <c r="C108" s="30" t="s">
        <v>41</v>
      </c>
      <c r="D108" s="62" t="s">
        <v>19</v>
      </c>
      <c r="E108" s="63">
        <v>1</v>
      </c>
      <c r="F108" s="63">
        <f>E108*F101</f>
        <v>21.297999999999977</v>
      </c>
      <c r="G108" s="66"/>
      <c r="H108" s="27">
        <f t="shared" si="15"/>
        <v>0</v>
      </c>
      <c r="I108" s="47"/>
      <c r="J108" s="48"/>
      <c r="K108" s="47"/>
      <c r="L108" s="48"/>
      <c r="M108" s="49">
        <f t="shared" si="16"/>
        <v>0</v>
      </c>
      <c r="N108" s="137"/>
    </row>
    <row r="109" spans="1:14" s="111" customFormat="1" ht="16.5">
      <c r="A109" s="60"/>
      <c r="B109" s="61"/>
      <c r="C109" s="30" t="s">
        <v>42</v>
      </c>
      <c r="D109" s="62" t="s">
        <v>19</v>
      </c>
      <c r="E109" s="63">
        <v>1.5</v>
      </c>
      <c r="F109" s="63">
        <f>E109*F101</f>
        <v>31.946999999999967</v>
      </c>
      <c r="G109" s="66"/>
      <c r="H109" s="27">
        <f t="shared" si="15"/>
        <v>0</v>
      </c>
      <c r="I109" s="47"/>
      <c r="J109" s="48"/>
      <c r="K109" s="47"/>
      <c r="L109" s="48"/>
      <c r="M109" s="49">
        <f t="shared" si="16"/>
        <v>0</v>
      </c>
      <c r="N109" s="137"/>
    </row>
    <row r="110" spans="1:14" s="111" customFormat="1" ht="16.5">
      <c r="A110" s="60"/>
      <c r="B110" s="61"/>
      <c r="C110" s="30" t="s">
        <v>43</v>
      </c>
      <c r="D110" s="62" t="s">
        <v>31</v>
      </c>
      <c r="E110" s="63">
        <v>1.2</v>
      </c>
      <c r="F110" s="63">
        <f>E110*F101</f>
        <v>25.557599999999972</v>
      </c>
      <c r="G110" s="66"/>
      <c r="H110" s="27">
        <f t="shared" si="15"/>
        <v>0</v>
      </c>
      <c r="I110" s="47"/>
      <c r="J110" s="48"/>
      <c r="K110" s="47"/>
      <c r="L110" s="48"/>
      <c r="M110" s="49">
        <f t="shared" si="16"/>
        <v>0</v>
      </c>
      <c r="N110" s="137"/>
    </row>
    <row r="111" spans="1:14" s="111" customFormat="1" ht="16.5">
      <c r="A111" s="60"/>
      <c r="B111" s="61"/>
      <c r="C111" s="67" t="s">
        <v>44</v>
      </c>
      <c r="D111" s="62" t="s">
        <v>27</v>
      </c>
      <c r="E111" s="63">
        <v>1.1000000000000001</v>
      </c>
      <c r="F111" s="63">
        <f>E111*F101</f>
        <v>23.427799999999976</v>
      </c>
      <c r="G111" s="66"/>
      <c r="H111" s="27">
        <f t="shared" si="15"/>
        <v>0</v>
      </c>
      <c r="I111" s="47"/>
      <c r="J111" s="48"/>
      <c r="K111" s="47"/>
      <c r="L111" s="48"/>
      <c r="M111" s="49">
        <f t="shared" si="16"/>
        <v>0</v>
      </c>
      <c r="N111" s="137"/>
    </row>
    <row r="112" spans="1:14" s="111" customFormat="1" ht="16.5">
      <c r="A112" s="60"/>
      <c r="B112" s="61"/>
      <c r="C112" s="67" t="s">
        <v>45</v>
      </c>
      <c r="D112" s="62" t="s">
        <v>27</v>
      </c>
      <c r="E112" s="63">
        <v>4.28</v>
      </c>
      <c r="F112" s="63">
        <f>E112*F101</f>
        <v>91.155439999999913</v>
      </c>
      <c r="G112" s="66"/>
      <c r="H112" s="27">
        <f t="shared" si="15"/>
        <v>0</v>
      </c>
      <c r="I112" s="48"/>
      <c r="J112" s="48"/>
      <c r="K112" s="48"/>
      <c r="L112" s="48"/>
      <c r="M112" s="49">
        <f t="shared" si="16"/>
        <v>0</v>
      </c>
      <c r="N112" s="137"/>
    </row>
    <row r="113" spans="1:14" s="111" customFormat="1" ht="16.5">
      <c r="A113" s="60"/>
      <c r="B113" s="61"/>
      <c r="C113" s="30" t="s">
        <v>47</v>
      </c>
      <c r="D113" s="62" t="s">
        <v>25</v>
      </c>
      <c r="E113" s="69">
        <v>5.6000000000000001E-2</v>
      </c>
      <c r="F113" s="63">
        <f>E113*F101</f>
        <v>1.1926879999999986</v>
      </c>
      <c r="G113" s="66"/>
      <c r="H113" s="27">
        <f t="shared" si="15"/>
        <v>0</v>
      </c>
      <c r="I113" s="47"/>
      <c r="J113" s="48"/>
      <c r="K113" s="47"/>
      <c r="L113" s="48"/>
      <c r="M113" s="49">
        <f t="shared" si="16"/>
        <v>0</v>
      </c>
      <c r="N113" s="137"/>
    </row>
    <row r="114" spans="1:14" s="111" customFormat="1" ht="30">
      <c r="A114" s="109">
        <v>15</v>
      </c>
      <c r="B114" s="53" t="s">
        <v>72</v>
      </c>
      <c r="C114" s="23" t="s">
        <v>68</v>
      </c>
      <c r="D114" s="24" t="s">
        <v>27</v>
      </c>
      <c r="E114" s="25"/>
      <c r="F114" s="25">
        <f>416.9+387</f>
        <v>803.9</v>
      </c>
      <c r="G114" s="26"/>
      <c r="H114" s="27"/>
      <c r="I114" s="27"/>
      <c r="J114" s="28"/>
      <c r="K114" s="28"/>
      <c r="L114" s="28"/>
      <c r="M114" s="49"/>
      <c r="N114" s="137"/>
    </row>
    <row r="115" spans="1:14" s="111" customFormat="1" ht="16.5">
      <c r="A115" s="60"/>
      <c r="B115" s="61"/>
      <c r="C115" s="30" t="s">
        <v>35</v>
      </c>
      <c r="D115" s="62" t="s">
        <v>27</v>
      </c>
      <c r="E115" s="55">
        <v>1</v>
      </c>
      <c r="F115" s="64">
        <f>E115*F114</f>
        <v>803.9</v>
      </c>
      <c r="G115" s="47"/>
      <c r="H115" s="27">
        <f t="shared" ref="H115:H126" si="17">G115*F115</f>
        <v>0</v>
      </c>
      <c r="I115" s="48"/>
      <c r="J115" s="48">
        <f>I115*F115</f>
        <v>0</v>
      </c>
      <c r="K115" s="48"/>
      <c r="L115" s="48"/>
      <c r="M115" s="49">
        <f t="shared" ref="M115:M126" si="18">H115+J115+L115</f>
        <v>0</v>
      </c>
      <c r="N115" s="137"/>
    </row>
    <row r="116" spans="1:14" s="111" customFormat="1" ht="16.5">
      <c r="A116" s="60"/>
      <c r="B116" s="61"/>
      <c r="C116" s="30" t="s">
        <v>36</v>
      </c>
      <c r="D116" s="62" t="s">
        <v>25</v>
      </c>
      <c r="E116" s="65">
        <v>0.10299999999999999</v>
      </c>
      <c r="F116" s="64">
        <f>E116*F114</f>
        <v>82.801699999999997</v>
      </c>
      <c r="G116" s="47"/>
      <c r="H116" s="27">
        <f t="shared" si="17"/>
        <v>0</v>
      </c>
      <c r="I116" s="47"/>
      <c r="J116" s="48"/>
      <c r="K116" s="47"/>
      <c r="L116" s="48">
        <f>K116*F116</f>
        <v>0</v>
      </c>
      <c r="M116" s="49">
        <f t="shared" si="18"/>
        <v>0</v>
      </c>
      <c r="N116" s="137"/>
    </row>
    <row r="117" spans="1:14" s="111" customFormat="1" ht="21" customHeight="1">
      <c r="A117" s="60"/>
      <c r="B117" s="61"/>
      <c r="C117" s="30" t="s">
        <v>37</v>
      </c>
      <c r="D117" s="62" t="s">
        <v>31</v>
      </c>
      <c r="E117" s="63">
        <v>1.3</v>
      </c>
      <c r="F117" s="63">
        <f>E117*F114</f>
        <v>1045.07</v>
      </c>
      <c r="G117" s="66"/>
      <c r="H117" s="27">
        <f t="shared" si="17"/>
        <v>0</v>
      </c>
      <c r="I117" s="47"/>
      <c r="J117" s="48"/>
      <c r="K117" s="47"/>
      <c r="L117" s="48"/>
      <c r="M117" s="49">
        <f t="shared" si="18"/>
        <v>0</v>
      </c>
      <c r="N117" s="137"/>
    </row>
    <row r="118" spans="1:14" s="111" customFormat="1" ht="16.5">
      <c r="A118" s="60"/>
      <c r="B118" s="61"/>
      <c r="C118" s="30" t="s">
        <v>38</v>
      </c>
      <c r="D118" s="62" t="s">
        <v>31</v>
      </c>
      <c r="E118" s="63">
        <v>2</v>
      </c>
      <c r="F118" s="63">
        <f>E118*F114</f>
        <v>1607.8</v>
      </c>
      <c r="G118" s="66"/>
      <c r="H118" s="27">
        <f t="shared" si="17"/>
        <v>0</v>
      </c>
      <c r="I118" s="47"/>
      <c r="J118" s="48"/>
      <c r="K118" s="47"/>
      <c r="L118" s="48"/>
      <c r="M118" s="49">
        <f t="shared" si="18"/>
        <v>0</v>
      </c>
      <c r="N118" s="137"/>
    </row>
    <row r="119" spans="1:14" s="111" customFormat="1" ht="16.5">
      <c r="A119" s="60"/>
      <c r="B119" s="61"/>
      <c r="C119" s="30" t="s">
        <v>39</v>
      </c>
      <c r="D119" s="62" t="s">
        <v>19</v>
      </c>
      <c r="E119" s="63">
        <v>15</v>
      </c>
      <c r="F119" s="63">
        <f>E119*F114</f>
        <v>12058.5</v>
      </c>
      <c r="G119" s="66"/>
      <c r="H119" s="27">
        <f t="shared" si="17"/>
        <v>0</v>
      </c>
      <c r="I119" s="47"/>
      <c r="J119" s="48"/>
      <c r="K119" s="47"/>
      <c r="L119" s="48"/>
      <c r="M119" s="49">
        <f t="shared" si="18"/>
        <v>0</v>
      </c>
      <c r="N119" s="137"/>
    </row>
    <row r="120" spans="1:14" s="111" customFormat="1" ht="16.5">
      <c r="A120" s="60"/>
      <c r="B120" s="61"/>
      <c r="C120" s="30" t="s">
        <v>40</v>
      </c>
      <c r="D120" s="62" t="s">
        <v>19</v>
      </c>
      <c r="E120" s="63">
        <v>1.5</v>
      </c>
      <c r="F120" s="63">
        <f>E120*F114</f>
        <v>1205.8499999999999</v>
      </c>
      <c r="G120" s="66"/>
      <c r="H120" s="27">
        <f t="shared" si="17"/>
        <v>0</v>
      </c>
      <c r="I120" s="47"/>
      <c r="J120" s="48"/>
      <c r="K120" s="47"/>
      <c r="L120" s="48"/>
      <c r="M120" s="49">
        <f t="shared" si="18"/>
        <v>0</v>
      </c>
      <c r="N120" s="137"/>
    </row>
    <row r="121" spans="1:14" s="111" customFormat="1" ht="16.5">
      <c r="A121" s="60"/>
      <c r="B121" s="61"/>
      <c r="C121" s="30" t="s">
        <v>41</v>
      </c>
      <c r="D121" s="62" t="s">
        <v>19</v>
      </c>
      <c r="E121" s="63">
        <v>1</v>
      </c>
      <c r="F121" s="63">
        <f>E121*F114</f>
        <v>803.9</v>
      </c>
      <c r="G121" s="66"/>
      <c r="H121" s="27">
        <f t="shared" si="17"/>
        <v>0</v>
      </c>
      <c r="I121" s="47"/>
      <c r="J121" s="48"/>
      <c r="K121" s="47"/>
      <c r="L121" s="48"/>
      <c r="M121" s="49">
        <f t="shared" si="18"/>
        <v>0</v>
      </c>
      <c r="N121" s="137"/>
    </row>
    <row r="122" spans="1:14" s="111" customFormat="1" ht="16.5">
      <c r="A122" s="60"/>
      <c r="B122" s="61"/>
      <c r="C122" s="30" t="s">
        <v>42</v>
      </c>
      <c r="D122" s="62" t="s">
        <v>19</v>
      </c>
      <c r="E122" s="63">
        <v>1.5</v>
      </c>
      <c r="F122" s="63">
        <f>E122*F114</f>
        <v>1205.8499999999999</v>
      </c>
      <c r="G122" s="66"/>
      <c r="H122" s="27">
        <f t="shared" si="17"/>
        <v>0</v>
      </c>
      <c r="I122" s="47"/>
      <c r="J122" s="48"/>
      <c r="K122" s="47"/>
      <c r="L122" s="48"/>
      <c r="M122" s="49">
        <f t="shared" si="18"/>
        <v>0</v>
      </c>
      <c r="N122" s="137"/>
    </row>
    <row r="123" spans="1:14" s="111" customFormat="1" ht="16.5">
      <c r="A123" s="60"/>
      <c r="B123" s="61"/>
      <c r="C123" s="30" t="s">
        <v>43</v>
      </c>
      <c r="D123" s="62" t="s">
        <v>31</v>
      </c>
      <c r="E123" s="63">
        <v>1.2</v>
      </c>
      <c r="F123" s="63">
        <f>E123*F114</f>
        <v>964.68</v>
      </c>
      <c r="G123" s="66"/>
      <c r="H123" s="27">
        <f t="shared" si="17"/>
        <v>0</v>
      </c>
      <c r="I123" s="47"/>
      <c r="J123" s="48"/>
      <c r="K123" s="47"/>
      <c r="L123" s="48"/>
      <c r="M123" s="49">
        <f t="shared" si="18"/>
        <v>0</v>
      </c>
      <c r="N123" s="137"/>
    </row>
    <row r="124" spans="1:14" s="111" customFormat="1" ht="16.5">
      <c r="A124" s="60"/>
      <c r="B124" s="61"/>
      <c r="C124" s="67" t="s">
        <v>44</v>
      </c>
      <c r="D124" s="62" t="s">
        <v>27</v>
      </c>
      <c r="E124" s="63">
        <v>1.1000000000000001</v>
      </c>
      <c r="F124" s="63">
        <f>E124*F114</f>
        <v>884.29000000000008</v>
      </c>
      <c r="G124" s="66"/>
      <c r="H124" s="27">
        <f t="shared" si="17"/>
        <v>0</v>
      </c>
      <c r="I124" s="47"/>
      <c r="J124" s="48"/>
      <c r="K124" s="47"/>
      <c r="L124" s="48"/>
      <c r="M124" s="49">
        <f t="shared" si="18"/>
        <v>0</v>
      </c>
      <c r="N124" s="137"/>
    </row>
    <row r="125" spans="1:14" s="111" customFormat="1" ht="16.5">
      <c r="A125" s="60"/>
      <c r="B125" s="61"/>
      <c r="C125" s="67" t="s">
        <v>45</v>
      </c>
      <c r="D125" s="62" t="s">
        <v>27</v>
      </c>
      <c r="E125" s="63">
        <f>4.28/2</f>
        <v>2.14</v>
      </c>
      <c r="F125" s="63">
        <f>E125*F114</f>
        <v>1720.346</v>
      </c>
      <c r="G125" s="66"/>
      <c r="H125" s="27">
        <f t="shared" si="17"/>
        <v>0</v>
      </c>
      <c r="I125" s="48"/>
      <c r="J125" s="48"/>
      <c r="K125" s="48"/>
      <c r="L125" s="48"/>
      <c r="M125" s="49">
        <f t="shared" si="18"/>
        <v>0</v>
      </c>
      <c r="N125" s="137"/>
    </row>
    <row r="126" spans="1:14" s="111" customFormat="1" ht="16.5">
      <c r="A126" s="60"/>
      <c r="B126" s="61"/>
      <c r="C126" s="30" t="s">
        <v>47</v>
      </c>
      <c r="D126" s="62" t="s">
        <v>25</v>
      </c>
      <c r="E126" s="69">
        <v>5.6000000000000001E-2</v>
      </c>
      <c r="F126" s="63">
        <f>E126*F114</f>
        <v>45.0184</v>
      </c>
      <c r="G126" s="66"/>
      <c r="H126" s="27">
        <f t="shared" si="17"/>
        <v>0</v>
      </c>
      <c r="I126" s="47"/>
      <c r="J126" s="48"/>
      <c r="K126" s="47"/>
      <c r="L126" s="48"/>
      <c r="M126" s="49">
        <f t="shared" si="18"/>
        <v>0</v>
      </c>
      <c r="N126" s="137"/>
    </row>
    <row r="127" spans="1:14" s="111" customFormat="1" ht="30">
      <c r="A127" s="109">
        <v>16</v>
      </c>
      <c r="B127" s="53" t="s">
        <v>73</v>
      </c>
      <c r="C127" s="23" t="s">
        <v>68</v>
      </c>
      <c r="D127" s="24" t="s">
        <v>27</v>
      </c>
      <c r="E127" s="25"/>
      <c r="F127" s="25">
        <f>170+630</f>
        <v>800</v>
      </c>
      <c r="G127" s="26"/>
      <c r="H127" s="27"/>
      <c r="I127" s="27"/>
      <c r="J127" s="28"/>
      <c r="K127" s="28"/>
      <c r="L127" s="28"/>
      <c r="M127" s="49"/>
      <c r="N127" s="137"/>
    </row>
    <row r="128" spans="1:14" s="111" customFormat="1" ht="16.5">
      <c r="A128" s="60"/>
      <c r="B128" s="61"/>
      <c r="C128" s="30" t="s">
        <v>35</v>
      </c>
      <c r="D128" s="62" t="s">
        <v>27</v>
      </c>
      <c r="E128" s="55">
        <v>1</v>
      </c>
      <c r="F128" s="64">
        <f>E128*F127</f>
        <v>800</v>
      </c>
      <c r="G128" s="47"/>
      <c r="H128" s="27">
        <f t="shared" ref="H128:H138" si="19">G128*F128</f>
        <v>0</v>
      </c>
      <c r="I128" s="48"/>
      <c r="J128" s="48">
        <f>I128*F128</f>
        <v>0</v>
      </c>
      <c r="K128" s="48"/>
      <c r="L128" s="48"/>
      <c r="M128" s="49">
        <f t="shared" ref="M128:M138" si="20">H128+J128+L128</f>
        <v>0</v>
      </c>
      <c r="N128" s="137"/>
    </row>
    <row r="129" spans="1:14" s="111" customFormat="1" ht="16.5">
      <c r="A129" s="60"/>
      <c r="B129" s="61"/>
      <c r="C129" s="30" t="s">
        <v>36</v>
      </c>
      <c r="D129" s="62" t="s">
        <v>25</v>
      </c>
      <c r="E129" s="65">
        <v>0.10299999999999999</v>
      </c>
      <c r="F129" s="64">
        <f>E129*F127</f>
        <v>82.399999999999991</v>
      </c>
      <c r="G129" s="47"/>
      <c r="H129" s="27">
        <f t="shared" si="19"/>
        <v>0</v>
      </c>
      <c r="I129" s="47"/>
      <c r="J129" s="48"/>
      <c r="K129" s="47"/>
      <c r="L129" s="48">
        <f>K129*F129</f>
        <v>0</v>
      </c>
      <c r="M129" s="49">
        <f t="shared" si="20"/>
        <v>0</v>
      </c>
      <c r="N129" s="137"/>
    </row>
    <row r="130" spans="1:14" s="111" customFormat="1" ht="21" customHeight="1">
      <c r="A130" s="60"/>
      <c r="B130" s="61"/>
      <c r="C130" s="30" t="s">
        <v>37</v>
      </c>
      <c r="D130" s="62" t="s">
        <v>31</v>
      </c>
      <c r="E130" s="63">
        <v>1.3</v>
      </c>
      <c r="F130" s="63">
        <f>E130*F127</f>
        <v>1040</v>
      </c>
      <c r="G130" s="66"/>
      <c r="H130" s="27">
        <f t="shared" si="19"/>
        <v>0</v>
      </c>
      <c r="I130" s="47"/>
      <c r="J130" s="48"/>
      <c r="K130" s="47"/>
      <c r="L130" s="48"/>
      <c r="M130" s="49">
        <f t="shared" si="20"/>
        <v>0</v>
      </c>
      <c r="N130" s="137"/>
    </row>
    <row r="131" spans="1:14" s="111" customFormat="1" ht="16.5">
      <c r="A131" s="60"/>
      <c r="B131" s="61"/>
      <c r="C131" s="30" t="s">
        <v>38</v>
      </c>
      <c r="D131" s="62" t="s">
        <v>31</v>
      </c>
      <c r="E131" s="63">
        <v>2</v>
      </c>
      <c r="F131" s="63">
        <f>E131*F127</f>
        <v>1600</v>
      </c>
      <c r="G131" s="66"/>
      <c r="H131" s="27">
        <f t="shared" si="19"/>
        <v>0</v>
      </c>
      <c r="I131" s="47"/>
      <c r="J131" s="48"/>
      <c r="K131" s="47"/>
      <c r="L131" s="48"/>
      <c r="M131" s="49">
        <f t="shared" si="20"/>
        <v>0</v>
      </c>
      <c r="N131" s="137"/>
    </row>
    <row r="132" spans="1:14" s="111" customFormat="1" ht="16.5">
      <c r="A132" s="60"/>
      <c r="B132" s="61"/>
      <c r="C132" s="30" t="s">
        <v>39</v>
      </c>
      <c r="D132" s="62" t="s">
        <v>19</v>
      </c>
      <c r="E132" s="63">
        <v>15</v>
      </c>
      <c r="F132" s="63">
        <f>E132*F127</f>
        <v>12000</v>
      </c>
      <c r="G132" s="66"/>
      <c r="H132" s="27">
        <f t="shared" si="19"/>
        <v>0</v>
      </c>
      <c r="I132" s="47"/>
      <c r="J132" s="48"/>
      <c r="K132" s="47"/>
      <c r="L132" s="48"/>
      <c r="M132" s="49">
        <f t="shared" si="20"/>
        <v>0</v>
      </c>
      <c r="N132" s="137"/>
    </row>
    <row r="133" spans="1:14" s="111" customFormat="1" ht="16.5">
      <c r="A133" s="60"/>
      <c r="B133" s="61"/>
      <c r="C133" s="30" t="s">
        <v>40</v>
      </c>
      <c r="D133" s="62" t="s">
        <v>19</v>
      </c>
      <c r="E133" s="63">
        <v>1.5</v>
      </c>
      <c r="F133" s="63">
        <f>E133*F127</f>
        <v>1200</v>
      </c>
      <c r="G133" s="66"/>
      <c r="H133" s="27">
        <f t="shared" si="19"/>
        <v>0</v>
      </c>
      <c r="I133" s="47"/>
      <c r="J133" s="48"/>
      <c r="K133" s="47"/>
      <c r="L133" s="48"/>
      <c r="M133" s="49">
        <f t="shared" si="20"/>
        <v>0</v>
      </c>
      <c r="N133" s="137"/>
    </row>
    <row r="134" spans="1:14" s="111" customFormat="1" ht="16.5">
      <c r="A134" s="60"/>
      <c r="B134" s="61"/>
      <c r="C134" s="30" t="s">
        <v>41</v>
      </c>
      <c r="D134" s="62" t="s">
        <v>19</v>
      </c>
      <c r="E134" s="63">
        <v>1</v>
      </c>
      <c r="F134" s="63">
        <f>E134*F127</f>
        <v>800</v>
      </c>
      <c r="G134" s="66"/>
      <c r="H134" s="27">
        <f t="shared" si="19"/>
        <v>0</v>
      </c>
      <c r="I134" s="47"/>
      <c r="J134" s="48"/>
      <c r="K134" s="47"/>
      <c r="L134" s="48"/>
      <c r="M134" s="49">
        <f t="shared" si="20"/>
        <v>0</v>
      </c>
      <c r="N134" s="137"/>
    </row>
    <row r="135" spans="1:14" s="111" customFormat="1" ht="16.5">
      <c r="A135" s="60"/>
      <c r="B135" s="61"/>
      <c r="C135" s="30" t="s">
        <v>42</v>
      </c>
      <c r="D135" s="62" t="s">
        <v>19</v>
      </c>
      <c r="E135" s="63">
        <v>1.5</v>
      </c>
      <c r="F135" s="63">
        <f>E135*F127</f>
        <v>1200</v>
      </c>
      <c r="G135" s="66"/>
      <c r="H135" s="27">
        <f t="shared" si="19"/>
        <v>0</v>
      </c>
      <c r="I135" s="47"/>
      <c r="J135" s="48"/>
      <c r="K135" s="47"/>
      <c r="L135" s="48"/>
      <c r="M135" s="49">
        <f t="shared" si="20"/>
        <v>0</v>
      </c>
      <c r="N135" s="137"/>
    </row>
    <row r="136" spans="1:14" s="111" customFormat="1" ht="16.5">
      <c r="A136" s="60"/>
      <c r="B136" s="61"/>
      <c r="C136" s="30" t="s">
        <v>43</v>
      </c>
      <c r="D136" s="62" t="s">
        <v>31</v>
      </c>
      <c r="E136" s="63">
        <v>1.2</v>
      </c>
      <c r="F136" s="63">
        <f>E136*F127</f>
        <v>960</v>
      </c>
      <c r="G136" s="66"/>
      <c r="H136" s="27">
        <f t="shared" si="19"/>
        <v>0</v>
      </c>
      <c r="I136" s="47"/>
      <c r="J136" s="48"/>
      <c r="K136" s="47"/>
      <c r="L136" s="48"/>
      <c r="M136" s="49">
        <f t="shared" si="20"/>
        <v>0</v>
      </c>
      <c r="N136" s="137"/>
    </row>
    <row r="137" spans="1:14" s="111" customFormat="1" ht="16.5">
      <c r="A137" s="60"/>
      <c r="B137" s="61"/>
      <c r="C137" s="67" t="s">
        <v>45</v>
      </c>
      <c r="D137" s="62" t="s">
        <v>27</v>
      </c>
      <c r="E137" s="63">
        <f>4.28/2</f>
        <v>2.14</v>
      </c>
      <c r="F137" s="63">
        <f>E137*F127</f>
        <v>1712</v>
      </c>
      <c r="G137" s="66"/>
      <c r="H137" s="27">
        <f t="shared" si="19"/>
        <v>0</v>
      </c>
      <c r="I137" s="48"/>
      <c r="J137" s="48"/>
      <c r="K137" s="48"/>
      <c r="L137" s="48"/>
      <c r="M137" s="49">
        <f t="shared" si="20"/>
        <v>0</v>
      </c>
      <c r="N137" s="137"/>
    </row>
    <row r="138" spans="1:14" s="111" customFormat="1" ht="16.5">
      <c r="A138" s="60"/>
      <c r="B138" s="61"/>
      <c r="C138" s="30" t="s">
        <v>47</v>
      </c>
      <c r="D138" s="62" t="s">
        <v>25</v>
      </c>
      <c r="E138" s="69">
        <v>5.6000000000000001E-2</v>
      </c>
      <c r="F138" s="63">
        <f>E138*F127</f>
        <v>44.800000000000004</v>
      </c>
      <c r="G138" s="66"/>
      <c r="H138" s="27">
        <f t="shared" si="19"/>
        <v>0</v>
      </c>
      <c r="I138" s="47"/>
      <c r="J138" s="48"/>
      <c r="K138" s="47"/>
      <c r="L138" s="48"/>
      <c r="M138" s="49">
        <f t="shared" si="20"/>
        <v>0</v>
      </c>
      <c r="N138" s="137"/>
    </row>
    <row r="139" spans="1:14" s="111" customFormat="1" ht="30">
      <c r="A139" s="109">
        <v>19</v>
      </c>
      <c r="B139" s="53" t="s">
        <v>57</v>
      </c>
      <c r="C139" s="23" t="s">
        <v>82</v>
      </c>
      <c r="D139" s="24" t="s">
        <v>27</v>
      </c>
      <c r="E139" s="25"/>
      <c r="F139" s="25">
        <f>804+803.9+800+700+2705+395</f>
        <v>6207.9</v>
      </c>
      <c r="G139" s="83"/>
      <c r="H139" s="27"/>
      <c r="I139" s="27"/>
      <c r="J139" s="28"/>
      <c r="K139" s="28"/>
      <c r="L139" s="28"/>
      <c r="M139" s="49"/>
      <c r="N139" s="137"/>
    </row>
    <row r="140" spans="1:14" s="111" customFormat="1">
      <c r="A140" s="112"/>
      <c r="B140" s="54"/>
      <c r="C140" s="30" t="s">
        <v>17</v>
      </c>
      <c r="D140" s="31" t="s">
        <v>18</v>
      </c>
      <c r="E140" s="55">
        <v>1</v>
      </c>
      <c r="F140" s="55">
        <f>E140*F139</f>
        <v>6207.9</v>
      </c>
      <c r="G140" s="84"/>
      <c r="H140" s="57"/>
      <c r="I140" s="57"/>
      <c r="J140" s="58">
        <f>I140*F140</f>
        <v>0</v>
      </c>
      <c r="K140" s="58"/>
      <c r="L140" s="28"/>
      <c r="M140" s="49">
        <f>H140+J140+L140</f>
        <v>0</v>
      </c>
      <c r="N140" s="137"/>
    </row>
    <row r="141" spans="1:14" s="111" customFormat="1">
      <c r="A141" s="112"/>
      <c r="B141" s="54"/>
      <c r="C141" s="30" t="s">
        <v>58</v>
      </c>
      <c r="D141" s="31" t="s">
        <v>29</v>
      </c>
      <c r="E141" s="55">
        <v>4.1000000000000002E-2</v>
      </c>
      <c r="F141" s="55">
        <f>E141*F139</f>
        <v>254.5239</v>
      </c>
      <c r="G141" s="84"/>
      <c r="H141" s="57"/>
      <c r="I141" s="57"/>
      <c r="J141" s="58"/>
      <c r="K141" s="58"/>
      <c r="L141" s="28">
        <f>K141*F141</f>
        <v>0</v>
      </c>
      <c r="M141" s="49">
        <f>H141+J141+L141</f>
        <v>0</v>
      </c>
      <c r="N141" s="137"/>
    </row>
    <row r="142" spans="1:14" s="111" customFormat="1">
      <c r="A142" s="109"/>
      <c r="B142" s="22"/>
      <c r="C142" s="50" t="s">
        <v>30</v>
      </c>
      <c r="D142" s="47" t="s">
        <v>25</v>
      </c>
      <c r="E142" s="32">
        <v>2.7E-2</v>
      </c>
      <c r="F142" s="32">
        <f>E142*F139</f>
        <v>167.61329999999998</v>
      </c>
      <c r="G142" s="85"/>
      <c r="H142" s="27"/>
      <c r="I142" s="27"/>
      <c r="J142" s="28"/>
      <c r="K142" s="28"/>
      <c r="L142" s="28">
        <f>K142*F142</f>
        <v>0</v>
      </c>
      <c r="M142" s="49">
        <f>H142+J142+L142</f>
        <v>0</v>
      </c>
      <c r="N142" s="137"/>
    </row>
    <row r="143" spans="1:14" s="111" customFormat="1">
      <c r="A143" s="109"/>
      <c r="B143" s="22"/>
      <c r="C143" s="50" t="s">
        <v>34</v>
      </c>
      <c r="D143" s="47" t="s">
        <v>16</v>
      </c>
      <c r="E143" s="32">
        <v>2.5999999999999999E-2</v>
      </c>
      <c r="F143" s="32">
        <f>E143*F139</f>
        <v>161.40539999999999</v>
      </c>
      <c r="G143" s="85"/>
      <c r="H143" s="27">
        <f>G143*F143</f>
        <v>0</v>
      </c>
      <c r="I143" s="27"/>
      <c r="J143" s="28"/>
      <c r="K143" s="28"/>
      <c r="L143" s="28">
        <f>K143*F143</f>
        <v>0</v>
      </c>
      <c r="M143" s="49">
        <f>H143+J143+L143</f>
        <v>0</v>
      </c>
      <c r="N143" s="137"/>
    </row>
    <row r="144" spans="1:14" s="111" customFormat="1">
      <c r="A144" s="109"/>
      <c r="B144" s="22"/>
      <c r="C144" s="30" t="s">
        <v>21</v>
      </c>
      <c r="D144" s="33" t="s">
        <v>25</v>
      </c>
      <c r="E144" s="32">
        <v>1.6E-2</v>
      </c>
      <c r="F144" s="32">
        <f>E144*F139</f>
        <v>99.326399999999992</v>
      </c>
      <c r="G144" s="85"/>
      <c r="H144" s="27">
        <f>G144*F144</f>
        <v>0</v>
      </c>
      <c r="I144" s="27"/>
      <c r="J144" s="28"/>
      <c r="K144" s="28"/>
      <c r="L144" s="28"/>
      <c r="M144" s="49">
        <f>H144+J144+L144</f>
        <v>0</v>
      </c>
      <c r="N144" s="137"/>
    </row>
    <row r="145" spans="1:14" s="111" customFormat="1" ht="30">
      <c r="A145" s="109">
        <v>19</v>
      </c>
      <c r="B145" s="53" t="s">
        <v>1017</v>
      </c>
      <c r="C145" s="23" t="s">
        <v>1018</v>
      </c>
      <c r="D145" s="24" t="s">
        <v>27</v>
      </c>
      <c r="E145" s="25"/>
      <c r="F145" s="25">
        <f>804+803.9+800</f>
        <v>2407.9</v>
      </c>
      <c r="G145" s="83"/>
      <c r="H145" s="27"/>
      <c r="I145" s="27"/>
      <c r="J145" s="28"/>
      <c r="K145" s="28"/>
      <c r="L145" s="28"/>
      <c r="M145" s="49"/>
      <c r="N145" s="137"/>
    </row>
    <row r="146" spans="1:14" s="111" customFormat="1">
      <c r="A146" s="112"/>
      <c r="B146" s="54"/>
      <c r="C146" s="30" t="s">
        <v>17</v>
      </c>
      <c r="D146" s="31" t="s">
        <v>18</v>
      </c>
      <c r="E146" s="55">
        <v>1</v>
      </c>
      <c r="F146" s="55">
        <f>E146*F145</f>
        <v>2407.9</v>
      </c>
      <c r="G146" s="84"/>
      <c r="H146" s="57"/>
      <c r="I146" s="57"/>
      <c r="J146" s="58">
        <f>I146*F146</f>
        <v>0</v>
      </c>
      <c r="K146" s="58"/>
      <c r="L146" s="28"/>
      <c r="M146" s="49">
        <f>H146+J146+L146</f>
        <v>0</v>
      </c>
      <c r="N146" s="137"/>
    </row>
    <row r="147" spans="1:14" s="111" customFormat="1">
      <c r="A147" s="109"/>
      <c r="B147" s="22"/>
      <c r="C147" s="50" t="s">
        <v>30</v>
      </c>
      <c r="D147" s="47" t="s">
        <v>25</v>
      </c>
      <c r="E147" s="32">
        <v>2.7E-2</v>
      </c>
      <c r="F147" s="32">
        <f>E147*F145</f>
        <v>65.013300000000001</v>
      </c>
      <c r="G147" s="85"/>
      <c r="H147" s="27"/>
      <c r="I147" s="27"/>
      <c r="J147" s="28"/>
      <c r="K147" s="28"/>
      <c r="L147" s="28">
        <f>K147*F147</f>
        <v>0</v>
      </c>
      <c r="M147" s="49">
        <f>H147+J147+L147</f>
        <v>0</v>
      </c>
      <c r="N147" s="137"/>
    </row>
    <row r="148" spans="1:14" s="111" customFormat="1">
      <c r="A148" s="109"/>
      <c r="B148" s="22"/>
      <c r="C148" s="50" t="s">
        <v>132</v>
      </c>
      <c r="D148" s="47" t="s">
        <v>20</v>
      </c>
      <c r="E148" s="32">
        <v>6.3</v>
      </c>
      <c r="F148" s="32">
        <f>E148*F145</f>
        <v>15169.77</v>
      </c>
      <c r="G148" s="85"/>
      <c r="H148" s="27">
        <f>G148*F148</f>
        <v>0</v>
      </c>
      <c r="I148" s="27"/>
      <c r="J148" s="28"/>
      <c r="K148" s="28"/>
      <c r="L148" s="28">
        <f>K148*F148</f>
        <v>0</v>
      </c>
      <c r="M148" s="49">
        <f>H148+J148+L148</f>
        <v>0</v>
      </c>
      <c r="N148" s="137"/>
    </row>
    <row r="149" spans="1:14" s="111" customFormat="1">
      <c r="A149" s="109"/>
      <c r="B149" s="22"/>
      <c r="C149" s="50" t="s">
        <v>59</v>
      </c>
      <c r="D149" s="47" t="s">
        <v>27</v>
      </c>
      <c r="E149" s="32">
        <v>1</v>
      </c>
      <c r="F149" s="32">
        <f>E149*F146</f>
        <v>2407.9</v>
      </c>
      <c r="G149" s="85"/>
      <c r="H149" s="27">
        <f>G149*F149</f>
        <v>0</v>
      </c>
      <c r="I149" s="27"/>
      <c r="J149" s="28"/>
      <c r="K149" s="28"/>
      <c r="L149" s="28">
        <f>K149*F149</f>
        <v>0</v>
      </c>
      <c r="M149" s="49">
        <f>H149+J149+L149</f>
        <v>0</v>
      </c>
      <c r="N149" s="137"/>
    </row>
    <row r="150" spans="1:14" s="111" customFormat="1">
      <c r="A150" s="109"/>
      <c r="B150" s="22"/>
      <c r="C150" s="30" t="s">
        <v>21</v>
      </c>
      <c r="D150" s="33" t="s">
        <v>25</v>
      </c>
      <c r="E150" s="32">
        <v>3.0000000000000001E-3</v>
      </c>
      <c r="F150" s="32">
        <f>E150*F145</f>
        <v>7.2237</v>
      </c>
      <c r="G150" s="85"/>
      <c r="H150" s="27">
        <f>G150*F150</f>
        <v>0</v>
      </c>
      <c r="I150" s="27"/>
      <c r="J150" s="28"/>
      <c r="K150" s="28"/>
      <c r="L150" s="28"/>
      <c r="M150" s="49">
        <f>H150+J150+L150</f>
        <v>0</v>
      </c>
      <c r="N150" s="137"/>
    </row>
    <row r="151" spans="1:14" s="111" customFormat="1">
      <c r="A151" s="109">
        <v>20</v>
      </c>
      <c r="B151" s="53" t="s">
        <v>57</v>
      </c>
      <c r="C151" s="23" t="s">
        <v>116</v>
      </c>
      <c r="D151" s="24" t="s">
        <v>27</v>
      </c>
      <c r="E151" s="25"/>
      <c r="F151" s="25">
        <f>2673.6+444.3+836.5+280.1+22+159.2+176.7+107.4+214.2+410.2+91.1+38.5+114.7+1933.4+492.7+927.5</f>
        <v>8922.0999999999985</v>
      </c>
      <c r="G151" s="83"/>
      <c r="H151" s="27"/>
      <c r="I151" s="27"/>
      <c r="J151" s="28"/>
      <c r="K151" s="28"/>
      <c r="L151" s="28"/>
      <c r="M151" s="49"/>
      <c r="N151" s="137"/>
    </row>
    <row r="152" spans="1:14" s="111" customFormat="1">
      <c r="A152" s="112"/>
      <c r="B152" s="54"/>
      <c r="C152" s="30" t="s">
        <v>17</v>
      </c>
      <c r="D152" s="31" t="s">
        <v>18</v>
      </c>
      <c r="E152" s="55">
        <v>1</v>
      </c>
      <c r="F152" s="55">
        <f>E152*F151</f>
        <v>8922.0999999999985</v>
      </c>
      <c r="G152" s="84"/>
      <c r="H152" s="57"/>
      <c r="I152" s="57"/>
      <c r="J152" s="58">
        <f>I152*F152</f>
        <v>0</v>
      </c>
      <c r="K152" s="58"/>
      <c r="L152" s="28"/>
      <c r="M152" s="49">
        <f>H152+J152+L152</f>
        <v>0</v>
      </c>
      <c r="N152" s="137"/>
    </row>
    <row r="153" spans="1:14" s="111" customFormat="1">
      <c r="A153" s="109"/>
      <c r="B153" s="22"/>
      <c r="C153" s="50" t="s">
        <v>30</v>
      </c>
      <c r="D153" s="47" t="s">
        <v>25</v>
      </c>
      <c r="E153" s="32">
        <f>1.2/100</f>
        <v>1.2E-2</v>
      </c>
      <c r="F153" s="32">
        <f>E153*F151</f>
        <v>107.06519999999999</v>
      </c>
      <c r="G153" s="85"/>
      <c r="H153" s="27"/>
      <c r="I153" s="27"/>
      <c r="J153" s="28"/>
      <c r="K153" s="28"/>
      <c r="L153" s="28">
        <f>K153*F153</f>
        <v>0</v>
      </c>
      <c r="M153" s="49">
        <f>H153+J153+L153</f>
        <v>0</v>
      </c>
      <c r="N153" s="137"/>
    </row>
    <row r="154" spans="1:14" s="111" customFormat="1">
      <c r="A154" s="109"/>
      <c r="B154" s="22"/>
      <c r="C154" s="50" t="s">
        <v>112</v>
      </c>
      <c r="D154" s="47" t="s">
        <v>20</v>
      </c>
      <c r="E154" s="32">
        <v>0.63</v>
      </c>
      <c r="F154" s="32">
        <f>E154*F151</f>
        <v>5620.9229999999989</v>
      </c>
      <c r="G154" s="85"/>
      <c r="H154" s="27">
        <f>G154*F154</f>
        <v>0</v>
      </c>
      <c r="I154" s="27"/>
      <c r="J154" s="28"/>
      <c r="K154" s="28"/>
      <c r="L154" s="28">
        <f>K154*F154</f>
        <v>0</v>
      </c>
      <c r="M154" s="49">
        <f>H154+J154+L154</f>
        <v>0</v>
      </c>
      <c r="N154" s="137"/>
    </row>
    <row r="155" spans="1:14" s="111" customFormat="1">
      <c r="A155" s="109"/>
      <c r="B155" s="22" t="s">
        <v>115</v>
      </c>
      <c r="C155" s="50" t="s">
        <v>114</v>
      </c>
      <c r="D155" s="47" t="s">
        <v>20</v>
      </c>
      <c r="E155" s="32">
        <v>0.79</v>
      </c>
      <c r="F155" s="32">
        <f>E155*F60</f>
        <v>54.818099999999994</v>
      </c>
      <c r="G155" s="85"/>
      <c r="H155" s="27">
        <f>G155*F155</f>
        <v>0</v>
      </c>
      <c r="I155" s="27"/>
      <c r="J155" s="28"/>
      <c r="K155" s="28"/>
      <c r="L155" s="28"/>
      <c r="M155" s="49">
        <f>H155+J155+L155</f>
        <v>0</v>
      </c>
      <c r="N155" s="137"/>
    </row>
    <row r="156" spans="1:14" s="111" customFormat="1">
      <c r="A156" s="109"/>
      <c r="B156" s="22"/>
      <c r="C156" s="30" t="s">
        <v>21</v>
      </c>
      <c r="D156" s="33" t="s">
        <v>25</v>
      </c>
      <c r="E156" s="32">
        <v>3.0000000000000001E-3</v>
      </c>
      <c r="F156" s="32">
        <f>E156*F151</f>
        <v>26.766299999999998</v>
      </c>
      <c r="G156" s="85"/>
      <c r="H156" s="27">
        <f>G156*F156</f>
        <v>0</v>
      </c>
      <c r="I156" s="27"/>
      <c r="J156" s="28"/>
      <c r="K156" s="28"/>
      <c r="L156" s="28"/>
      <c r="M156" s="49">
        <f>H156+J156+L156</f>
        <v>0</v>
      </c>
      <c r="N156" s="137"/>
    </row>
    <row r="157" spans="1:14" s="71" customFormat="1" ht="27" customHeight="1">
      <c r="A157" s="120">
        <v>21</v>
      </c>
      <c r="B157" s="70" t="s">
        <v>145</v>
      </c>
      <c r="C157" s="121" t="s">
        <v>146</v>
      </c>
      <c r="D157" s="120" t="s">
        <v>27</v>
      </c>
      <c r="E157" s="122"/>
      <c r="F157" s="25">
        <f>0.98*2.185*25+0.78*2.185*10+1.98*2.185+1.08*2.185+0.78*2.185+0.78*2.185+0.98*2.185+0.98*2.185+0.78*2.185+0.78*2.185+0.98*2.185+0.98*2.185+0.98*2.185+0.98*2.185+0.98*2.185+0.98*2.185+0.98*2.185+0.78*2.185+0.78*2.185+0.78*2.185+0.98*2.185+0.98*2.185*2+0.78*2.185*4+0.78*2.185*2+0.98*2.185+0.98*2.185*28+0.78*2.185*25+1.48*2.185*3+0.98*2.185*26+0.78*2.185*22+1.48*2.285*2+0.98*2.185+0.78*2.185</f>
        <v>343.29730000000006</v>
      </c>
      <c r="G157" s="123"/>
      <c r="H157" s="123"/>
      <c r="I157" s="122"/>
      <c r="J157" s="123"/>
      <c r="K157" s="122"/>
      <c r="L157" s="123"/>
      <c r="M157" s="134"/>
      <c r="N157" s="135"/>
    </row>
    <row r="158" spans="1:14" s="71" customFormat="1">
      <c r="A158" s="72"/>
      <c r="B158" s="73"/>
      <c r="C158" s="74" t="s">
        <v>35</v>
      </c>
      <c r="D158" s="75" t="s">
        <v>18</v>
      </c>
      <c r="E158" s="55">
        <v>1</v>
      </c>
      <c r="F158" s="76">
        <f>F157*E158</f>
        <v>343.29730000000006</v>
      </c>
      <c r="G158" s="75"/>
      <c r="H158" s="76"/>
      <c r="I158" s="75"/>
      <c r="J158" s="76">
        <f>F158*I158</f>
        <v>0</v>
      </c>
      <c r="K158" s="75"/>
      <c r="L158" s="76"/>
      <c r="M158" s="136">
        <f t="shared" ref="M158:M163" si="21">H158+J158+L158</f>
        <v>0</v>
      </c>
      <c r="N158" s="135"/>
    </row>
    <row r="159" spans="1:14" s="71" customFormat="1">
      <c r="A159" s="72"/>
      <c r="B159" s="73"/>
      <c r="C159" s="74" t="s">
        <v>30</v>
      </c>
      <c r="D159" s="75" t="s">
        <v>25</v>
      </c>
      <c r="E159" s="75">
        <v>0.16300000000000001</v>
      </c>
      <c r="F159" s="76">
        <f>E159*F157</f>
        <v>55.957459900000011</v>
      </c>
      <c r="G159" s="75"/>
      <c r="H159" s="76"/>
      <c r="I159" s="75"/>
      <c r="J159" s="76"/>
      <c r="K159" s="75"/>
      <c r="L159" s="76">
        <f>K159*F159</f>
        <v>0</v>
      </c>
      <c r="M159" s="136">
        <f t="shared" si="21"/>
        <v>0</v>
      </c>
      <c r="N159" s="135"/>
    </row>
    <row r="160" spans="1:14" s="71" customFormat="1">
      <c r="A160" s="72"/>
      <c r="B160" s="124" t="s">
        <v>147</v>
      </c>
      <c r="C160" s="125" t="s">
        <v>148</v>
      </c>
      <c r="D160" s="75" t="s">
        <v>27</v>
      </c>
      <c r="E160" s="75">
        <v>1</v>
      </c>
      <c r="F160" s="76">
        <f>E160*F157</f>
        <v>343.29730000000006</v>
      </c>
      <c r="G160" s="76"/>
      <c r="H160" s="76">
        <f t="shared" ref="H160" si="22">F160*G160</f>
        <v>0</v>
      </c>
      <c r="I160" s="75"/>
      <c r="J160" s="76"/>
      <c r="K160" s="75"/>
      <c r="L160" s="76"/>
      <c r="M160" s="136">
        <f t="shared" si="21"/>
        <v>0</v>
      </c>
      <c r="N160" s="135"/>
    </row>
    <row r="161" spans="1:14" s="111" customFormat="1" ht="16.5">
      <c r="A161" s="60"/>
      <c r="B161" s="61"/>
      <c r="C161" s="30" t="s">
        <v>47</v>
      </c>
      <c r="D161" s="62" t="s">
        <v>25</v>
      </c>
      <c r="E161" s="69">
        <v>2.06E-2</v>
      </c>
      <c r="F161" s="63">
        <f>E161*F157</f>
        <v>7.0719243800000013</v>
      </c>
      <c r="G161" s="66"/>
      <c r="H161" s="27">
        <f t="shared" ref="H161" si="23">G161*F161</f>
        <v>0</v>
      </c>
      <c r="I161" s="47"/>
      <c r="J161" s="48"/>
      <c r="K161" s="47"/>
      <c r="L161" s="48"/>
      <c r="M161" s="49">
        <f t="shared" si="21"/>
        <v>0</v>
      </c>
      <c r="N161" s="137"/>
    </row>
    <row r="162" spans="1:14" s="71" customFormat="1" ht="15.75">
      <c r="A162" s="72"/>
      <c r="B162" s="124"/>
      <c r="C162" s="126" t="s">
        <v>149</v>
      </c>
      <c r="D162" s="127" t="s">
        <v>27</v>
      </c>
      <c r="E162" s="127"/>
      <c r="F162" s="128">
        <f>0.98*1.99+0.78*2.185+0.78*1.985+0.78*1.985+0.98*1.985*6</f>
        <v>18.422900000000002</v>
      </c>
      <c r="G162" s="76"/>
      <c r="H162" s="76">
        <f t="shared" ref="H162" si="24">F162*G162</f>
        <v>0</v>
      </c>
      <c r="I162" s="75"/>
      <c r="J162" s="76"/>
      <c r="K162" s="75"/>
      <c r="L162" s="76"/>
      <c r="M162" s="136">
        <f t="shared" si="21"/>
        <v>0</v>
      </c>
      <c r="N162" s="135"/>
    </row>
    <row r="163" spans="1:14" s="111" customFormat="1" ht="16.5">
      <c r="A163" s="60"/>
      <c r="B163" s="61"/>
      <c r="C163" s="126" t="s">
        <v>150</v>
      </c>
      <c r="D163" s="127" t="s">
        <v>27</v>
      </c>
      <c r="E163" s="127"/>
      <c r="F163" s="128">
        <f>0.38*1.185*8+0.58*1.185*4+0.38*1.185*4+0.38*1.185*8+0.58*1.185*6+0.98*2.185+0.38*1.185*2</f>
        <v>18.920900000000003</v>
      </c>
      <c r="G163" s="66"/>
      <c r="H163" s="27">
        <f t="shared" ref="H163" si="25">G163*F163</f>
        <v>0</v>
      </c>
      <c r="I163" s="47"/>
      <c r="J163" s="48"/>
      <c r="K163" s="47"/>
      <c r="L163" s="48"/>
      <c r="M163" s="49">
        <f t="shared" si="21"/>
        <v>0</v>
      </c>
      <c r="N163" s="137"/>
    </row>
    <row r="164" spans="1:14" s="111" customFormat="1" ht="18">
      <c r="A164" s="109"/>
      <c r="B164" s="129"/>
      <c r="C164" s="110" t="s">
        <v>117</v>
      </c>
      <c r="D164" s="33"/>
      <c r="E164" s="32"/>
      <c r="F164" s="32"/>
      <c r="G164" s="85"/>
      <c r="H164" s="27"/>
      <c r="I164" s="27"/>
      <c r="J164" s="28"/>
      <c r="K164" s="28"/>
      <c r="L164" s="28"/>
      <c r="M164" s="49"/>
      <c r="N164" s="137"/>
    </row>
    <row r="165" spans="1:14" s="111" customFormat="1" ht="30">
      <c r="A165" s="109">
        <v>24</v>
      </c>
      <c r="B165" s="53" t="s">
        <v>120</v>
      </c>
      <c r="C165" s="23" t="s">
        <v>119</v>
      </c>
      <c r="D165" s="24" t="s">
        <v>27</v>
      </c>
      <c r="E165" s="25"/>
      <c r="F165" s="25">
        <f>37.2+32.5+88.7+1.8+8.8+5.7+0.7+0.5+15.1+57.8+1.7+0.5+18.4+20+10.4+10.5+37.3+1.2+15.1+0.5+0.7+1.8+18.1+43+42.8+5.2+23.7+23.7+24.2+24+22.9+22+17.1+18+49.6+16.9+16.8+16.6+16.8+17.4+17+16.8+17+15.9+15.9+21.9+21.9+15.7+17.8+16.3+4+4+4.8+6.1+4.8+6.2+6.2+4+4+4.7+6+4.7+3.6+3.6+4.1+4.1+2.3+2.3+2.3+4.3+4.3+4.3+37.4+23.6+23.6+23.9+24+22.5+22.6+16.8+17.6+47.1+16.8+16.8+16.6+16.9+16.5+16.8+16.2+16.9+16.3+16.3+22.3+22.5+17.1+16.6+21+8+13.6+6.3+15.1+29+83.3+62.3+84.5+57.3+21.2+28+217.7+37+18.3+93.4+18.9+15.4+10.9+22.9+57.4+14+11.4</f>
        <v>2507.1999999999989</v>
      </c>
      <c r="G165" s="83"/>
      <c r="H165" s="27"/>
      <c r="I165" s="27"/>
      <c r="J165" s="28"/>
      <c r="K165" s="28"/>
      <c r="L165" s="28"/>
      <c r="M165" s="49"/>
      <c r="N165" s="137"/>
    </row>
    <row r="166" spans="1:14" s="111" customFormat="1">
      <c r="A166" s="112"/>
      <c r="B166" s="54"/>
      <c r="C166" s="30" t="s">
        <v>17</v>
      </c>
      <c r="D166" s="31" t="s">
        <v>18</v>
      </c>
      <c r="E166" s="55">
        <v>1</v>
      </c>
      <c r="F166" s="55">
        <f>E166*F165</f>
        <v>2507.1999999999989</v>
      </c>
      <c r="G166" s="84"/>
      <c r="H166" s="57"/>
      <c r="I166" s="57"/>
      <c r="J166" s="58">
        <f>I166*F166</f>
        <v>0</v>
      </c>
      <c r="K166" s="58"/>
      <c r="L166" s="28"/>
      <c r="M166" s="49">
        <f>H166+J166+L166</f>
        <v>0</v>
      </c>
      <c r="N166" s="137"/>
    </row>
    <row r="167" spans="1:14" s="111" customFormat="1">
      <c r="A167" s="109"/>
      <c r="B167" s="22"/>
      <c r="C167" s="50" t="s">
        <v>30</v>
      </c>
      <c r="D167" s="47" t="s">
        <v>25</v>
      </c>
      <c r="E167" s="32">
        <v>7.0000000000000007E-2</v>
      </c>
      <c r="F167" s="32">
        <f>E167*F165</f>
        <v>175.50399999999993</v>
      </c>
      <c r="G167" s="85"/>
      <c r="H167" s="27"/>
      <c r="I167" s="27"/>
      <c r="J167" s="28"/>
      <c r="K167" s="28"/>
      <c r="L167" s="28">
        <f>K167*F167</f>
        <v>0</v>
      </c>
      <c r="M167" s="49">
        <f>H167+J167+L167</f>
        <v>0</v>
      </c>
      <c r="N167" s="137"/>
    </row>
    <row r="168" spans="1:14" s="111" customFormat="1">
      <c r="A168" s="109"/>
      <c r="B168" s="22"/>
      <c r="C168" s="50" t="s">
        <v>34</v>
      </c>
      <c r="D168" s="47" t="s">
        <v>16</v>
      </c>
      <c r="E168" s="32">
        <v>3.7499999999999999E-2</v>
      </c>
      <c r="F168" s="32">
        <f>E168*F165</f>
        <v>94.019999999999953</v>
      </c>
      <c r="G168" s="85"/>
      <c r="H168" s="27">
        <f>G168*F168</f>
        <v>0</v>
      </c>
      <c r="I168" s="27"/>
      <c r="J168" s="28"/>
      <c r="K168" s="28"/>
      <c r="L168" s="28">
        <f>K168*F168</f>
        <v>0</v>
      </c>
      <c r="M168" s="49">
        <f>H168+J168+L168</f>
        <v>0</v>
      </c>
      <c r="N168" s="137"/>
    </row>
    <row r="169" spans="1:14" s="111" customFormat="1">
      <c r="A169" s="109"/>
      <c r="B169" s="22"/>
      <c r="C169" s="50" t="s">
        <v>121</v>
      </c>
      <c r="D169" s="47" t="s">
        <v>27</v>
      </c>
      <c r="E169" s="32">
        <v>1.08</v>
      </c>
      <c r="F169" s="32">
        <f>E169*F165</f>
        <v>2707.7759999999989</v>
      </c>
      <c r="G169" s="85"/>
      <c r="H169" s="27">
        <f>G169*F169</f>
        <v>0</v>
      </c>
      <c r="I169" s="27"/>
      <c r="J169" s="28"/>
      <c r="K169" s="28"/>
      <c r="L169" s="28"/>
      <c r="M169" s="49">
        <f>H169+J169+L169</f>
        <v>0</v>
      </c>
      <c r="N169" s="137"/>
    </row>
    <row r="170" spans="1:14" s="111" customFormat="1">
      <c r="A170" s="109"/>
      <c r="B170" s="22"/>
      <c r="C170" s="30" t="s">
        <v>21</v>
      </c>
      <c r="D170" s="33" t="s">
        <v>25</v>
      </c>
      <c r="E170" s="32">
        <v>1E-3</v>
      </c>
      <c r="F170" s="32">
        <f>E170*F165</f>
        <v>2.5071999999999988</v>
      </c>
      <c r="G170" s="85"/>
      <c r="H170" s="27">
        <f>G170*F170</f>
        <v>0</v>
      </c>
      <c r="I170" s="27"/>
      <c r="J170" s="28"/>
      <c r="K170" s="28"/>
      <c r="L170" s="28"/>
      <c r="M170" s="49">
        <f>H170+J170+L170</f>
        <v>0</v>
      </c>
      <c r="N170" s="137"/>
    </row>
    <row r="171" spans="1:14" s="71" customFormat="1" ht="47.45" customHeight="1">
      <c r="A171" s="120">
        <v>23</v>
      </c>
      <c r="B171" s="70" t="s">
        <v>48</v>
      </c>
      <c r="C171" s="121" t="s">
        <v>118</v>
      </c>
      <c r="D171" s="120" t="s">
        <v>27</v>
      </c>
      <c r="E171" s="122"/>
      <c r="F171" s="25">
        <f>18+27.6+23.1+2.2+6.6+2.4+2.3+5.5+5.9+28.3+11.5+25+4.2+2+4.2+2+4.2+2+23+5.9+11.5+9.3+5.9+5.6+5.5+2.6+5.8+3.6*15+15+3.7*8+3.7+4.9+5.8+3.7+3.8+3.6+3.6+3.6+3.6+3.8+3.7+3.7+3.7+3.6*4+15.4+3.6+3.7+3.7*6+4</f>
        <v>465.20000000000005</v>
      </c>
      <c r="G171" s="123"/>
      <c r="H171" s="123"/>
      <c r="I171" s="122"/>
      <c r="J171" s="123"/>
      <c r="K171" s="122"/>
      <c r="L171" s="123"/>
      <c r="M171" s="134"/>
      <c r="N171" s="135"/>
    </row>
    <row r="172" spans="1:14" s="71" customFormat="1">
      <c r="A172" s="72"/>
      <c r="B172" s="73"/>
      <c r="C172" s="74" t="s">
        <v>35</v>
      </c>
      <c r="D172" s="75" t="s">
        <v>27</v>
      </c>
      <c r="E172" s="55">
        <v>1</v>
      </c>
      <c r="F172" s="76">
        <f>F171*E172</f>
        <v>465.20000000000005</v>
      </c>
      <c r="G172" s="75"/>
      <c r="H172" s="76"/>
      <c r="I172" s="75"/>
      <c r="J172" s="76">
        <f>F172*I172</f>
        <v>0</v>
      </c>
      <c r="K172" s="75"/>
      <c r="L172" s="76"/>
      <c r="M172" s="136">
        <f t="shared" ref="M172:M185" si="26">H172+J172+L172</f>
        <v>0</v>
      </c>
      <c r="N172" s="135"/>
    </row>
    <row r="173" spans="1:14" s="71" customFormat="1">
      <c r="A173" s="72"/>
      <c r="B173" s="73"/>
      <c r="C173" s="74" t="s">
        <v>30</v>
      </c>
      <c r="D173" s="75" t="s">
        <v>25</v>
      </c>
      <c r="E173" s="75">
        <v>0.11</v>
      </c>
      <c r="F173" s="76">
        <f>E173*F171</f>
        <v>51.172000000000004</v>
      </c>
      <c r="G173" s="75"/>
      <c r="H173" s="76"/>
      <c r="I173" s="75"/>
      <c r="J173" s="76"/>
      <c r="K173" s="75"/>
      <c r="L173" s="76">
        <f>K173*F173</f>
        <v>0</v>
      </c>
      <c r="M173" s="136">
        <f t="shared" si="26"/>
        <v>0</v>
      </c>
      <c r="N173" s="135"/>
    </row>
    <row r="174" spans="1:14" s="71" customFormat="1">
      <c r="A174" s="72"/>
      <c r="B174" s="73"/>
      <c r="C174" s="74" t="s">
        <v>45</v>
      </c>
      <c r="D174" s="75" t="s">
        <v>27</v>
      </c>
      <c r="E174" s="75">
        <v>1.05</v>
      </c>
      <c r="F174" s="76">
        <f>E174*F171</f>
        <v>488.46000000000009</v>
      </c>
      <c r="G174" s="76"/>
      <c r="H174" s="76">
        <f t="shared" ref="H174:H184" si="27">F174*G174</f>
        <v>0</v>
      </c>
      <c r="I174" s="75"/>
      <c r="J174" s="76"/>
      <c r="K174" s="75"/>
      <c r="L174" s="76"/>
      <c r="M174" s="136">
        <f t="shared" si="26"/>
        <v>0</v>
      </c>
      <c r="N174" s="135"/>
    </row>
    <row r="175" spans="1:14" s="71" customFormat="1">
      <c r="A175" s="72"/>
      <c r="B175" s="73"/>
      <c r="C175" s="74" t="s">
        <v>49</v>
      </c>
      <c r="D175" s="75" t="s">
        <v>31</v>
      </c>
      <c r="E175" s="75">
        <v>2.9</v>
      </c>
      <c r="F175" s="76">
        <f>E175*F171</f>
        <v>1349.0800000000002</v>
      </c>
      <c r="G175" s="76"/>
      <c r="H175" s="76">
        <f t="shared" si="27"/>
        <v>0</v>
      </c>
      <c r="I175" s="75"/>
      <c r="J175" s="76"/>
      <c r="K175" s="75"/>
      <c r="L175" s="76"/>
      <c r="M175" s="136">
        <f t="shared" si="26"/>
        <v>0</v>
      </c>
      <c r="N175" s="135"/>
    </row>
    <row r="176" spans="1:14" s="71" customFormat="1">
      <c r="A176" s="72"/>
      <c r="B176" s="77"/>
      <c r="C176" s="78" t="s">
        <v>50</v>
      </c>
      <c r="D176" s="79" t="s">
        <v>31</v>
      </c>
      <c r="E176" s="79">
        <v>1</v>
      </c>
      <c r="F176" s="80">
        <f>E176*F171</f>
        <v>465.20000000000005</v>
      </c>
      <c r="G176" s="80"/>
      <c r="H176" s="80">
        <f t="shared" si="27"/>
        <v>0</v>
      </c>
      <c r="I176" s="79"/>
      <c r="J176" s="80"/>
      <c r="K176" s="79"/>
      <c r="L176" s="80"/>
      <c r="M176" s="138">
        <f t="shared" si="26"/>
        <v>0</v>
      </c>
      <c r="N176" s="135"/>
    </row>
    <row r="177" spans="1:14" s="71" customFormat="1">
      <c r="A177" s="72"/>
      <c r="B177" s="73"/>
      <c r="C177" s="74" t="s">
        <v>51</v>
      </c>
      <c r="D177" s="75" t="s">
        <v>19</v>
      </c>
      <c r="E177" s="75">
        <v>0.2</v>
      </c>
      <c r="F177" s="76">
        <f>E177*F171</f>
        <v>93.04000000000002</v>
      </c>
      <c r="G177" s="80"/>
      <c r="H177" s="76">
        <f t="shared" si="27"/>
        <v>0</v>
      </c>
      <c r="I177" s="75"/>
      <c r="J177" s="76"/>
      <c r="K177" s="75"/>
      <c r="L177" s="76"/>
      <c r="M177" s="136">
        <f t="shared" si="26"/>
        <v>0</v>
      </c>
      <c r="N177" s="135"/>
    </row>
    <row r="178" spans="1:14" s="71" customFormat="1">
      <c r="A178" s="72"/>
      <c r="B178" s="73"/>
      <c r="C178" s="74" t="s">
        <v>41</v>
      </c>
      <c r="D178" s="75" t="s">
        <v>19</v>
      </c>
      <c r="E178" s="75">
        <v>1.7</v>
      </c>
      <c r="F178" s="76">
        <f>E178*F171</f>
        <v>790.84</v>
      </c>
      <c r="G178" s="76"/>
      <c r="H178" s="76">
        <f t="shared" si="27"/>
        <v>0</v>
      </c>
      <c r="I178" s="75"/>
      <c r="J178" s="76"/>
      <c r="K178" s="75"/>
      <c r="L178" s="76"/>
      <c r="M178" s="136">
        <f t="shared" si="26"/>
        <v>0</v>
      </c>
      <c r="N178" s="135"/>
    </row>
    <row r="179" spans="1:14" s="71" customFormat="1">
      <c r="A179" s="72"/>
      <c r="B179" s="73"/>
      <c r="C179" s="74" t="s">
        <v>52</v>
      </c>
      <c r="D179" s="75" t="s">
        <v>19</v>
      </c>
      <c r="E179" s="75">
        <v>0.7</v>
      </c>
      <c r="F179" s="76">
        <f>E179*F171</f>
        <v>325.64</v>
      </c>
      <c r="G179" s="76"/>
      <c r="H179" s="76">
        <f t="shared" si="27"/>
        <v>0</v>
      </c>
      <c r="I179" s="75"/>
      <c r="J179" s="76"/>
      <c r="K179" s="75"/>
      <c r="L179" s="76"/>
      <c r="M179" s="136">
        <f t="shared" si="26"/>
        <v>0</v>
      </c>
      <c r="N179" s="135"/>
    </row>
    <row r="180" spans="1:14" s="71" customFormat="1">
      <c r="A180" s="72"/>
      <c r="B180" s="73"/>
      <c r="C180" s="74" t="s">
        <v>53</v>
      </c>
      <c r="D180" s="75" t="s">
        <v>19</v>
      </c>
      <c r="E180" s="75">
        <v>1.4</v>
      </c>
      <c r="F180" s="76">
        <f>E180*F171</f>
        <v>651.28</v>
      </c>
      <c r="G180" s="76"/>
      <c r="H180" s="76">
        <f t="shared" si="27"/>
        <v>0</v>
      </c>
      <c r="I180" s="75"/>
      <c r="J180" s="76"/>
      <c r="K180" s="75"/>
      <c r="L180" s="76"/>
      <c r="M180" s="136">
        <f t="shared" si="26"/>
        <v>0</v>
      </c>
      <c r="N180" s="135"/>
    </row>
    <row r="181" spans="1:14" s="71" customFormat="1">
      <c r="A181" s="72"/>
      <c r="B181" s="73"/>
      <c r="C181" s="74" t="s">
        <v>54</v>
      </c>
      <c r="D181" s="75" t="s">
        <v>19</v>
      </c>
      <c r="E181" s="75">
        <v>23</v>
      </c>
      <c r="F181" s="76">
        <f>E181*F171</f>
        <v>10699.6</v>
      </c>
      <c r="G181" s="76"/>
      <c r="H181" s="76">
        <f t="shared" si="27"/>
        <v>0</v>
      </c>
      <c r="I181" s="75"/>
      <c r="J181" s="76"/>
      <c r="K181" s="75"/>
      <c r="L181" s="76"/>
      <c r="M181" s="136">
        <f t="shared" si="26"/>
        <v>0</v>
      </c>
      <c r="N181" s="135"/>
    </row>
    <row r="182" spans="1:14" s="71" customFormat="1">
      <c r="A182" s="72"/>
      <c r="B182" s="77"/>
      <c r="C182" s="78" t="s">
        <v>55</v>
      </c>
      <c r="D182" s="79" t="s">
        <v>19</v>
      </c>
      <c r="E182" s="79">
        <v>0.7</v>
      </c>
      <c r="F182" s="80">
        <f>97.2*2</f>
        <v>194.4</v>
      </c>
      <c r="G182" s="80"/>
      <c r="H182" s="80">
        <f t="shared" si="27"/>
        <v>0</v>
      </c>
      <c r="I182" s="79"/>
      <c r="J182" s="80"/>
      <c r="K182" s="79"/>
      <c r="L182" s="80"/>
      <c r="M182" s="138">
        <f t="shared" si="26"/>
        <v>0</v>
      </c>
      <c r="N182" s="135"/>
    </row>
    <row r="183" spans="1:14" s="71" customFormat="1">
      <c r="A183" s="72"/>
      <c r="B183" s="81"/>
      <c r="C183" s="82" t="s">
        <v>56</v>
      </c>
      <c r="D183" s="79" t="s">
        <v>19</v>
      </c>
      <c r="E183" s="47">
        <v>1.2</v>
      </c>
      <c r="F183" s="48">
        <f>E183*F171</f>
        <v>558.24</v>
      </c>
      <c r="G183" s="48"/>
      <c r="H183" s="80">
        <f t="shared" si="27"/>
        <v>0</v>
      </c>
      <c r="I183" s="47"/>
      <c r="J183" s="48"/>
      <c r="K183" s="47"/>
      <c r="L183" s="48"/>
      <c r="M183" s="138">
        <f t="shared" si="26"/>
        <v>0</v>
      </c>
      <c r="N183" s="135"/>
    </row>
    <row r="184" spans="1:14" s="71" customFormat="1">
      <c r="A184" s="72"/>
      <c r="B184" s="81"/>
      <c r="C184" s="82" t="s">
        <v>46</v>
      </c>
      <c r="D184" s="79" t="s">
        <v>20</v>
      </c>
      <c r="E184" s="47">
        <v>0.75</v>
      </c>
      <c r="F184" s="48">
        <f>E184*F171</f>
        <v>348.90000000000003</v>
      </c>
      <c r="G184" s="48"/>
      <c r="H184" s="80">
        <f t="shared" si="27"/>
        <v>0</v>
      </c>
      <c r="I184" s="47"/>
      <c r="J184" s="48"/>
      <c r="K184" s="47"/>
      <c r="L184" s="48"/>
      <c r="M184" s="138">
        <f t="shared" si="26"/>
        <v>0</v>
      </c>
      <c r="N184" s="135"/>
    </row>
    <row r="185" spans="1:14" s="111" customFormat="1" ht="16.5">
      <c r="A185" s="60"/>
      <c r="B185" s="61"/>
      <c r="C185" s="30" t="s">
        <v>47</v>
      </c>
      <c r="D185" s="62" t="s">
        <v>25</v>
      </c>
      <c r="E185" s="69">
        <v>0.94</v>
      </c>
      <c r="F185" s="63">
        <f>E185*F171</f>
        <v>437.28800000000001</v>
      </c>
      <c r="G185" s="66"/>
      <c r="H185" s="27">
        <f t="shared" ref="H185" si="28">G185*F185</f>
        <v>0</v>
      </c>
      <c r="I185" s="47"/>
      <c r="J185" s="48"/>
      <c r="K185" s="47"/>
      <c r="L185" s="48"/>
      <c r="M185" s="49">
        <f t="shared" si="26"/>
        <v>0</v>
      </c>
      <c r="N185" s="137"/>
    </row>
    <row r="186" spans="1:14" s="71" customFormat="1" ht="47.45" customHeight="1">
      <c r="A186" s="120">
        <v>23</v>
      </c>
      <c r="B186" s="70" t="s">
        <v>48</v>
      </c>
      <c r="C186" s="121" t="s">
        <v>1029</v>
      </c>
      <c r="D186" s="120" t="s">
        <v>27</v>
      </c>
      <c r="E186" s="122"/>
      <c r="F186" s="25">
        <v>1316.3</v>
      </c>
      <c r="G186" s="123"/>
      <c r="H186" s="123"/>
      <c r="I186" s="122"/>
      <c r="J186" s="123"/>
      <c r="K186" s="122"/>
      <c r="L186" s="123"/>
      <c r="M186" s="134"/>
      <c r="N186" s="135"/>
    </row>
    <row r="187" spans="1:14" s="71" customFormat="1">
      <c r="A187" s="72"/>
      <c r="B187" s="73"/>
      <c r="C187" s="74" t="s">
        <v>35</v>
      </c>
      <c r="D187" s="75" t="s">
        <v>27</v>
      </c>
      <c r="E187" s="55">
        <v>1</v>
      </c>
      <c r="F187" s="76">
        <f>F186*E187</f>
        <v>1316.3</v>
      </c>
      <c r="G187" s="75"/>
      <c r="H187" s="76"/>
      <c r="I187" s="75"/>
      <c r="J187" s="76">
        <f>F187*I187</f>
        <v>0</v>
      </c>
      <c r="K187" s="75"/>
      <c r="L187" s="76"/>
      <c r="M187" s="136">
        <f t="shared" ref="M187:M200" si="29">H187+J187+L187</f>
        <v>0</v>
      </c>
      <c r="N187" s="135"/>
    </row>
    <row r="188" spans="1:14" s="71" customFormat="1">
      <c r="A188" s="72"/>
      <c r="B188" s="73"/>
      <c r="C188" s="74" t="s">
        <v>30</v>
      </c>
      <c r="D188" s="75" t="s">
        <v>25</v>
      </c>
      <c r="E188" s="75">
        <v>0.11</v>
      </c>
      <c r="F188" s="76">
        <f>E188*F186</f>
        <v>144.79300000000001</v>
      </c>
      <c r="G188" s="75"/>
      <c r="H188" s="76"/>
      <c r="I188" s="75"/>
      <c r="J188" s="76"/>
      <c r="K188" s="75"/>
      <c r="L188" s="76">
        <f>K188*F188</f>
        <v>0</v>
      </c>
      <c r="M188" s="136">
        <f t="shared" si="29"/>
        <v>0</v>
      </c>
      <c r="N188" s="135"/>
    </row>
    <row r="189" spans="1:14" s="71" customFormat="1">
      <c r="A189" s="72"/>
      <c r="B189" s="73"/>
      <c r="C189" s="74" t="s">
        <v>45</v>
      </c>
      <c r="D189" s="75" t="s">
        <v>27</v>
      </c>
      <c r="E189" s="75">
        <v>1.05</v>
      </c>
      <c r="F189" s="76">
        <f>E189*F186</f>
        <v>1382.115</v>
      </c>
      <c r="G189" s="76"/>
      <c r="H189" s="76">
        <f t="shared" ref="H189:H199" si="30">F189*G189</f>
        <v>0</v>
      </c>
      <c r="I189" s="75"/>
      <c r="J189" s="76"/>
      <c r="K189" s="75"/>
      <c r="L189" s="76"/>
      <c r="M189" s="136">
        <f t="shared" si="29"/>
        <v>0</v>
      </c>
      <c r="N189" s="135"/>
    </row>
    <row r="190" spans="1:14" s="71" customFormat="1">
      <c r="A190" s="72"/>
      <c r="B190" s="73"/>
      <c r="C190" s="74" t="s">
        <v>49</v>
      </c>
      <c r="D190" s="75" t="s">
        <v>31</v>
      </c>
      <c r="E190" s="75">
        <v>2.9</v>
      </c>
      <c r="F190" s="76">
        <f>E190*F186</f>
        <v>3817.2699999999995</v>
      </c>
      <c r="G190" s="76"/>
      <c r="H190" s="76">
        <f t="shared" si="30"/>
        <v>0</v>
      </c>
      <c r="I190" s="75"/>
      <c r="J190" s="76"/>
      <c r="K190" s="75"/>
      <c r="L190" s="76"/>
      <c r="M190" s="136">
        <f t="shared" si="29"/>
        <v>0</v>
      </c>
      <c r="N190" s="135"/>
    </row>
    <row r="191" spans="1:14" s="71" customFormat="1">
      <c r="A191" s="72"/>
      <c r="B191" s="77"/>
      <c r="C191" s="78" t="s">
        <v>50</v>
      </c>
      <c r="D191" s="79" t="s">
        <v>31</v>
      </c>
      <c r="E191" s="79">
        <v>1</v>
      </c>
      <c r="F191" s="80">
        <f>E191*F186</f>
        <v>1316.3</v>
      </c>
      <c r="G191" s="80"/>
      <c r="H191" s="80">
        <f t="shared" si="30"/>
        <v>0</v>
      </c>
      <c r="I191" s="79"/>
      <c r="J191" s="80"/>
      <c r="K191" s="79"/>
      <c r="L191" s="80"/>
      <c r="M191" s="138">
        <f t="shared" si="29"/>
        <v>0</v>
      </c>
      <c r="N191" s="135"/>
    </row>
    <row r="192" spans="1:14" s="71" customFormat="1">
      <c r="A192" s="72"/>
      <c r="B192" s="73"/>
      <c r="C192" s="74" t="s">
        <v>51</v>
      </c>
      <c r="D192" s="75" t="s">
        <v>19</v>
      </c>
      <c r="E192" s="75">
        <v>0.2</v>
      </c>
      <c r="F192" s="76">
        <f>E192*F186</f>
        <v>263.26</v>
      </c>
      <c r="G192" s="80"/>
      <c r="H192" s="76">
        <f t="shared" si="30"/>
        <v>0</v>
      </c>
      <c r="I192" s="75"/>
      <c r="J192" s="76"/>
      <c r="K192" s="75"/>
      <c r="L192" s="76"/>
      <c r="M192" s="136">
        <f t="shared" si="29"/>
        <v>0</v>
      </c>
      <c r="N192" s="135"/>
    </row>
    <row r="193" spans="1:14" s="71" customFormat="1">
      <c r="A193" s="72"/>
      <c r="B193" s="73"/>
      <c r="C193" s="74" t="s">
        <v>41</v>
      </c>
      <c r="D193" s="75" t="s">
        <v>19</v>
      </c>
      <c r="E193" s="75">
        <v>1.7</v>
      </c>
      <c r="F193" s="76">
        <f>E193*F186</f>
        <v>2237.71</v>
      </c>
      <c r="G193" s="76"/>
      <c r="H193" s="76">
        <f t="shared" si="30"/>
        <v>0</v>
      </c>
      <c r="I193" s="75"/>
      <c r="J193" s="76"/>
      <c r="K193" s="75"/>
      <c r="L193" s="76"/>
      <c r="M193" s="136">
        <f t="shared" si="29"/>
        <v>0</v>
      </c>
      <c r="N193" s="135"/>
    </row>
    <row r="194" spans="1:14" s="71" customFormat="1">
      <c r="A194" s="72"/>
      <c r="B194" s="73"/>
      <c r="C194" s="74" t="s">
        <v>52</v>
      </c>
      <c r="D194" s="75" t="s">
        <v>19</v>
      </c>
      <c r="E194" s="75">
        <v>0.7</v>
      </c>
      <c r="F194" s="76">
        <f>E194*F186</f>
        <v>921.40999999999985</v>
      </c>
      <c r="G194" s="76"/>
      <c r="H194" s="76">
        <f t="shared" si="30"/>
        <v>0</v>
      </c>
      <c r="I194" s="75"/>
      <c r="J194" s="76"/>
      <c r="K194" s="75"/>
      <c r="L194" s="76"/>
      <c r="M194" s="136">
        <f t="shared" si="29"/>
        <v>0</v>
      </c>
      <c r="N194" s="135"/>
    </row>
    <row r="195" spans="1:14" s="71" customFormat="1">
      <c r="A195" s="72"/>
      <c r="B195" s="73"/>
      <c r="C195" s="74" t="s">
        <v>53</v>
      </c>
      <c r="D195" s="75" t="s">
        <v>19</v>
      </c>
      <c r="E195" s="75">
        <v>1.4</v>
      </c>
      <c r="F195" s="76">
        <f>E195*F186</f>
        <v>1842.8199999999997</v>
      </c>
      <c r="G195" s="76"/>
      <c r="H195" s="76">
        <f t="shared" si="30"/>
        <v>0</v>
      </c>
      <c r="I195" s="75"/>
      <c r="J195" s="76"/>
      <c r="K195" s="75"/>
      <c r="L195" s="76"/>
      <c r="M195" s="136">
        <f t="shared" si="29"/>
        <v>0</v>
      </c>
      <c r="N195" s="135"/>
    </row>
    <row r="196" spans="1:14" s="71" customFormat="1">
      <c r="A196" s="72"/>
      <c r="B196" s="73"/>
      <c r="C196" s="74" t="s">
        <v>54</v>
      </c>
      <c r="D196" s="75" t="s">
        <v>19</v>
      </c>
      <c r="E196" s="75">
        <v>23</v>
      </c>
      <c r="F196" s="76">
        <f>E196*F186</f>
        <v>30274.899999999998</v>
      </c>
      <c r="G196" s="76"/>
      <c r="H196" s="76">
        <f t="shared" si="30"/>
        <v>0</v>
      </c>
      <c r="I196" s="75"/>
      <c r="J196" s="76"/>
      <c r="K196" s="75"/>
      <c r="L196" s="76"/>
      <c r="M196" s="136">
        <f t="shared" si="29"/>
        <v>0</v>
      </c>
      <c r="N196" s="135"/>
    </row>
    <row r="197" spans="1:14" s="71" customFormat="1">
      <c r="A197" s="72"/>
      <c r="B197" s="77"/>
      <c r="C197" s="78" t="s">
        <v>55</v>
      </c>
      <c r="D197" s="79" t="s">
        <v>19</v>
      </c>
      <c r="E197" s="79">
        <v>0.7</v>
      </c>
      <c r="F197" s="80">
        <f>97.2*2</f>
        <v>194.4</v>
      </c>
      <c r="G197" s="80"/>
      <c r="H197" s="80">
        <f t="shared" si="30"/>
        <v>0</v>
      </c>
      <c r="I197" s="79"/>
      <c r="J197" s="80"/>
      <c r="K197" s="79"/>
      <c r="L197" s="80"/>
      <c r="M197" s="138">
        <f t="shared" si="29"/>
        <v>0</v>
      </c>
      <c r="N197" s="135"/>
    </row>
    <row r="198" spans="1:14" s="71" customFormat="1">
      <c r="A198" s="72"/>
      <c r="B198" s="81"/>
      <c r="C198" s="82" t="s">
        <v>56</v>
      </c>
      <c r="D198" s="79" t="s">
        <v>19</v>
      </c>
      <c r="E198" s="47">
        <v>1.2</v>
      </c>
      <c r="F198" s="48">
        <f>E198*F186</f>
        <v>1579.56</v>
      </c>
      <c r="G198" s="48"/>
      <c r="H198" s="80">
        <f t="shared" si="30"/>
        <v>0</v>
      </c>
      <c r="I198" s="47"/>
      <c r="J198" s="48"/>
      <c r="K198" s="47"/>
      <c r="L198" s="48"/>
      <c r="M198" s="138">
        <f t="shared" si="29"/>
        <v>0</v>
      </c>
      <c r="N198" s="135"/>
    </row>
    <row r="199" spans="1:14" s="71" customFormat="1">
      <c r="A199" s="72"/>
      <c r="B199" s="81"/>
      <c r="C199" s="82" t="s">
        <v>46</v>
      </c>
      <c r="D199" s="79" t="s">
        <v>20</v>
      </c>
      <c r="E199" s="47">
        <v>0.75</v>
      </c>
      <c r="F199" s="48">
        <f>E199*F186</f>
        <v>987.22499999999991</v>
      </c>
      <c r="G199" s="48"/>
      <c r="H199" s="80">
        <f t="shared" si="30"/>
        <v>0</v>
      </c>
      <c r="I199" s="47"/>
      <c r="J199" s="48"/>
      <c r="K199" s="47"/>
      <c r="L199" s="48"/>
      <c r="M199" s="138">
        <f t="shared" si="29"/>
        <v>0</v>
      </c>
      <c r="N199" s="135"/>
    </row>
    <row r="200" spans="1:14" s="111" customFormat="1" ht="16.5">
      <c r="A200" s="60"/>
      <c r="B200" s="61"/>
      <c r="C200" s="30" t="s">
        <v>47</v>
      </c>
      <c r="D200" s="62" t="s">
        <v>25</v>
      </c>
      <c r="E200" s="69">
        <v>0.94</v>
      </c>
      <c r="F200" s="63">
        <f>E200*F186</f>
        <v>1237.3219999999999</v>
      </c>
      <c r="G200" s="66"/>
      <c r="H200" s="27">
        <f t="shared" ref="H200" si="31">G200*F200</f>
        <v>0</v>
      </c>
      <c r="I200" s="47"/>
      <c r="J200" s="48"/>
      <c r="K200" s="47"/>
      <c r="L200" s="48"/>
      <c r="M200" s="49">
        <f t="shared" si="29"/>
        <v>0</v>
      </c>
      <c r="N200" s="137"/>
    </row>
    <row r="201" spans="1:14" s="111" customFormat="1" ht="30">
      <c r="A201" s="109">
        <v>24</v>
      </c>
      <c r="B201" s="53" t="s">
        <v>120</v>
      </c>
      <c r="C201" s="23" t="s">
        <v>119</v>
      </c>
      <c r="D201" s="24" t="s">
        <v>27</v>
      </c>
      <c r="E201" s="25"/>
      <c r="F201" s="25">
        <f>F171+F186</f>
        <v>1781.5</v>
      </c>
      <c r="G201" s="83"/>
      <c r="H201" s="27"/>
      <c r="I201" s="27"/>
      <c r="J201" s="28"/>
      <c r="K201" s="28"/>
      <c r="L201" s="28"/>
      <c r="M201" s="49"/>
      <c r="N201" s="137"/>
    </row>
    <row r="202" spans="1:14" s="111" customFormat="1">
      <c r="A202" s="112"/>
      <c r="B202" s="54"/>
      <c r="C202" s="30" t="s">
        <v>17</v>
      </c>
      <c r="D202" s="31" t="s">
        <v>18</v>
      </c>
      <c r="E202" s="55">
        <v>1</v>
      </c>
      <c r="F202" s="55">
        <f>E202*F201</f>
        <v>1781.5</v>
      </c>
      <c r="G202" s="84"/>
      <c r="H202" s="57"/>
      <c r="I202" s="57"/>
      <c r="J202" s="58">
        <f>I202*F202</f>
        <v>0</v>
      </c>
      <c r="K202" s="58"/>
      <c r="L202" s="28"/>
      <c r="M202" s="49">
        <f>H202+J202+L202</f>
        <v>0</v>
      </c>
      <c r="N202" s="137"/>
    </row>
    <row r="203" spans="1:14" s="111" customFormat="1">
      <c r="A203" s="109"/>
      <c r="B203" s="22"/>
      <c r="C203" s="50" t="s">
        <v>30</v>
      </c>
      <c r="D203" s="47" t="s">
        <v>25</v>
      </c>
      <c r="E203" s="32">
        <v>7.0000000000000007E-2</v>
      </c>
      <c r="F203" s="32">
        <f>E203*F201</f>
        <v>124.70500000000001</v>
      </c>
      <c r="G203" s="85"/>
      <c r="H203" s="27"/>
      <c r="I203" s="27"/>
      <c r="J203" s="28"/>
      <c r="K203" s="28"/>
      <c r="L203" s="28">
        <f>K203*F203</f>
        <v>0</v>
      </c>
      <c r="M203" s="49">
        <f>H203+J203+L203</f>
        <v>0</v>
      </c>
      <c r="N203" s="137"/>
    </row>
    <row r="204" spans="1:14" s="111" customFormat="1">
      <c r="A204" s="109"/>
      <c r="B204" s="22"/>
      <c r="C204" s="50" t="s">
        <v>34</v>
      </c>
      <c r="D204" s="47" t="s">
        <v>16</v>
      </c>
      <c r="E204" s="32">
        <v>3.7499999999999999E-2</v>
      </c>
      <c r="F204" s="32">
        <f>E204*F201</f>
        <v>66.806249999999991</v>
      </c>
      <c r="G204" s="85"/>
      <c r="H204" s="27">
        <f>G204*F204</f>
        <v>0</v>
      </c>
      <c r="I204" s="27"/>
      <c r="J204" s="28"/>
      <c r="K204" s="28"/>
      <c r="L204" s="28">
        <f>K204*F204</f>
        <v>0</v>
      </c>
      <c r="M204" s="49">
        <f>H204+J204+L204</f>
        <v>0</v>
      </c>
      <c r="N204" s="137"/>
    </row>
    <row r="205" spans="1:14" s="111" customFormat="1">
      <c r="A205" s="109"/>
      <c r="B205" s="22"/>
      <c r="C205" s="50" t="s">
        <v>121</v>
      </c>
      <c r="D205" s="47" t="s">
        <v>27</v>
      </c>
      <c r="E205" s="32">
        <v>1.08</v>
      </c>
      <c r="F205" s="32">
        <f>E205*F201</f>
        <v>1924.0200000000002</v>
      </c>
      <c r="G205" s="85"/>
      <c r="H205" s="27">
        <f>G205*F205</f>
        <v>0</v>
      </c>
      <c r="I205" s="27"/>
      <c r="J205" s="28"/>
      <c r="K205" s="28"/>
      <c r="L205" s="28"/>
      <c r="M205" s="49">
        <f>H205+J205+L205</f>
        <v>0</v>
      </c>
      <c r="N205" s="137"/>
    </row>
    <row r="206" spans="1:14" s="111" customFormat="1">
      <c r="A206" s="109"/>
      <c r="B206" s="22"/>
      <c r="C206" s="30" t="s">
        <v>21</v>
      </c>
      <c r="D206" s="33" t="s">
        <v>25</v>
      </c>
      <c r="E206" s="32">
        <v>1E-3</v>
      </c>
      <c r="F206" s="32">
        <f>E206*F201</f>
        <v>1.7815000000000001</v>
      </c>
      <c r="G206" s="85"/>
      <c r="H206" s="27">
        <f>G206*F206</f>
        <v>0</v>
      </c>
      <c r="I206" s="27"/>
      <c r="J206" s="28"/>
      <c r="K206" s="28"/>
      <c r="L206" s="28"/>
      <c r="M206" s="49">
        <f>H206+J206+L206</f>
        <v>0</v>
      </c>
      <c r="N206" s="137"/>
    </row>
    <row r="207" spans="1:14" s="111" customFormat="1">
      <c r="A207" s="109">
        <v>25</v>
      </c>
      <c r="B207" s="53" t="s">
        <v>123</v>
      </c>
      <c r="C207" s="23" t="s">
        <v>122</v>
      </c>
      <c r="D207" s="24" t="s">
        <v>27</v>
      </c>
      <c r="E207" s="25"/>
      <c r="F207" s="25">
        <f>F201</f>
        <v>1781.5</v>
      </c>
      <c r="G207" s="83"/>
      <c r="H207" s="27"/>
      <c r="I207" s="27"/>
      <c r="J207" s="28"/>
      <c r="K207" s="28"/>
      <c r="L207" s="28"/>
      <c r="M207" s="49"/>
      <c r="N207" s="137"/>
    </row>
    <row r="208" spans="1:14" s="111" customFormat="1">
      <c r="A208" s="112"/>
      <c r="B208" s="54"/>
      <c r="C208" s="30" t="s">
        <v>17</v>
      </c>
      <c r="D208" s="31" t="s">
        <v>18</v>
      </c>
      <c r="E208" s="55">
        <v>1</v>
      </c>
      <c r="F208" s="55">
        <f>E208*F207</f>
        <v>1781.5</v>
      </c>
      <c r="G208" s="84"/>
      <c r="H208" s="57"/>
      <c r="I208" s="57"/>
      <c r="J208" s="58">
        <f>I208*F208</f>
        <v>0</v>
      </c>
      <c r="K208" s="58"/>
      <c r="L208" s="28"/>
      <c r="M208" s="49">
        <f>H208+J208+L208</f>
        <v>0</v>
      </c>
      <c r="N208" s="137"/>
    </row>
    <row r="209" spans="1:14" s="111" customFormat="1">
      <c r="A209" s="109"/>
      <c r="B209" s="22"/>
      <c r="C209" s="50" t="s">
        <v>30</v>
      </c>
      <c r="D209" s="47" t="s">
        <v>25</v>
      </c>
      <c r="E209" s="32">
        <f>1.2/100</f>
        <v>1.2E-2</v>
      </c>
      <c r="F209" s="32">
        <f>E209*F207</f>
        <v>21.378</v>
      </c>
      <c r="G209" s="85"/>
      <c r="H209" s="27"/>
      <c r="I209" s="27"/>
      <c r="J209" s="28"/>
      <c r="K209" s="28"/>
      <c r="L209" s="28">
        <f>K209*F209</f>
        <v>0</v>
      </c>
      <c r="M209" s="49">
        <f>H209+J209+L209</f>
        <v>0</v>
      </c>
      <c r="N209" s="137"/>
    </row>
    <row r="210" spans="1:14" s="111" customFormat="1">
      <c r="A210" s="109"/>
      <c r="B210" s="22"/>
      <c r="C210" s="50" t="s">
        <v>1032</v>
      </c>
      <c r="D210" s="47" t="s">
        <v>20</v>
      </c>
      <c r="E210" s="32">
        <v>0.63</v>
      </c>
      <c r="F210" s="32">
        <f>E210*F207</f>
        <v>1122.345</v>
      </c>
      <c r="G210" s="85"/>
      <c r="H210" s="27">
        <f>G210*F210</f>
        <v>0</v>
      </c>
      <c r="I210" s="27"/>
      <c r="J210" s="28"/>
      <c r="K210" s="28"/>
      <c r="L210" s="28">
        <f>K210*F210</f>
        <v>0</v>
      </c>
      <c r="M210" s="49">
        <f>H210+J210+L210</f>
        <v>0</v>
      </c>
      <c r="N210" s="137"/>
    </row>
    <row r="211" spans="1:14" s="111" customFormat="1">
      <c r="A211" s="109"/>
      <c r="B211" s="22" t="s">
        <v>115</v>
      </c>
      <c r="C211" s="50" t="s">
        <v>114</v>
      </c>
      <c r="D211" s="47" t="s">
        <v>20</v>
      </c>
      <c r="E211" s="32">
        <v>0.92</v>
      </c>
      <c r="F211" s="32">
        <f>E211*F101</f>
        <v>19.594159999999981</v>
      </c>
      <c r="G211" s="85"/>
      <c r="H211" s="27">
        <f>G211*F211</f>
        <v>0</v>
      </c>
      <c r="I211" s="27"/>
      <c r="J211" s="28"/>
      <c r="K211" s="28"/>
      <c r="L211" s="28"/>
      <c r="M211" s="49">
        <f>H211+J211+L211</f>
        <v>0</v>
      </c>
      <c r="N211" s="137"/>
    </row>
    <row r="212" spans="1:14" s="111" customFormat="1">
      <c r="A212" s="109"/>
      <c r="B212" s="22"/>
      <c r="C212" s="30" t="s">
        <v>21</v>
      </c>
      <c r="D212" s="33" t="s">
        <v>25</v>
      </c>
      <c r="E212" s="32">
        <v>1.7999999999999999E-2</v>
      </c>
      <c r="F212" s="32">
        <f>E212*F207</f>
        <v>32.067</v>
      </c>
      <c r="G212" s="85"/>
      <c r="H212" s="27">
        <f>G212*F212</f>
        <v>0</v>
      </c>
      <c r="I212" s="27"/>
      <c r="J212" s="28"/>
      <c r="K212" s="28"/>
      <c r="L212" s="28"/>
      <c r="M212" s="49">
        <f>H212+J212+L212</f>
        <v>0</v>
      </c>
      <c r="N212" s="137"/>
    </row>
    <row r="213" spans="1:14" s="71" customFormat="1" ht="47.45" customHeight="1">
      <c r="A213" s="120">
        <v>26</v>
      </c>
      <c r="B213" s="70"/>
      <c r="C213" s="121" t="s">
        <v>1030</v>
      </c>
      <c r="D213" s="120" t="s">
        <v>27</v>
      </c>
      <c r="E213" s="122"/>
      <c r="F213" s="25">
        <f>383.5+162.9+217.7+3</f>
        <v>767.09999999999991</v>
      </c>
      <c r="G213" s="123"/>
      <c r="H213" s="123"/>
      <c r="I213" s="122"/>
      <c r="J213" s="123"/>
      <c r="K213" s="122"/>
      <c r="L213" s="123"/>
      <c r="M213" s="134"/>
      <c r="N213" s="135"/>
    </row>
    <row r="214" spans="1:14" s="71" customFormat="1">
      <c r="A214" s="72"/>
      <c r="B214" s="73"/>
      <c r="C214" s="74" t="s">
        <v>35</v>
      </c>
      <c r="D214" s="75" t="s">
        <v>18</v>
      </c>
      <c r="E214" s="55">
        <v>1</v>
      </c>
      <c r="F214" s="76">
        <f>F213*E214</f>
        <v>767.09999999999991</v>
      </c>
      <c r="G214" s="75"/>
      <c r="H214" s="76"/>
      <c r="I214" s="75"/>
      <c r="J214" s="76">
        <f>F214*I214</f>
        <v>0</v>
      </c>
      <c r="K214" s="75"/>
      <c r="L214" s="76"/>
      <c r="M214" s="136">
        <f t="shared" ref="M214:M216" si="32">H214+J214+L214</f>
        <v>0</v>
      </c>
      <c r="N214" s="135"/>
    </row>
    <row r="215" spans="1:14" s="71" customFormat="1">
      <c r="A215" s="72"/>
      <c r="B215" s="73"/>
      <c r="C215" s="74" t="s">
        <v>1031</v>
      </c>
      <c r="D215" s="75" t="s">
        <v>20</v>
      </c>
      <c r="E215" s="75">
        <v>0.4</v>
      </c>
      <c r="F215" s="76">
        <f>E215*F213</f>
        <v>306.83999999999997</v>
      </c>
      <c r="G215" s="75"/>
      <c r="H215" s="76"/>
      <c r="I215" s="75"/>
      <c r="J215" s="76">
        <f>F215*I215</f>
        <v>0</v>
      </c>
      <c r="K215" s="75"/>
      <c r="L215" s="76"/>
      <c r="M215" s="136">
        <f t="shared" si="32"/>
        <v>0</v>
      </c>
      <c r="N215" s="135"/>
    </row>
    <row r="216" spans="1:14" s="111" customFormat="1" ht="16.5">
      <c r="A216" s="60"/>
      <c r="B216" s="61"/>
      <c r="C216" s="30" t="s">
        <v>47</v>
      </c>
      <c r="D216" s="62" t="s">
        <v>25</v>
      </c>
      <c r="E216" s="69">
        <v>0.03</v>
      </c>
      <c r="F216" s="63">
        <f>E216*F213</f>
        <v>23.012999999999998</v>
      </c>
      <c r="G216" s="66"/>
      <c r="H216" s="27">
        <f t="shared" ref="H216" si="33">G216*F216</f>
        <v>0</v>
      </c>
      <c r="I216" s="47"/>
      <c r="J216" s="48"/>
      <c r="K216" s="47"/>
      <c r="L216" s="48"/>
      <c r="M216" s="49">
        <f t="shared" si="32"/>
        <v>0</v>
      </c>
      <c r="N216" s="137"/>
    </row>
    <row r="217" spans="1:14" s="111" customFormat="1" ht="18">
      <c r="A217" s="60"/>
      <c r="B217" s="130"/>
      <c r="C217" s="110" t="s">
        <v>124</v>
      </c>
      <c r="D217" s="62"/>
      <c r="E217" s="69"/>
      <c r="F217" s="63"/>
      <c r="G217" s="66"/>
      <c r="H217" s="27"/>
      <c r="I217" s="47"/>
      <c r="J217" s="48"/>
      <c r="K217" s="47"/>
      <c r="L217" s="48"/>
      <c r="M217" s="49"/>
      <c r="N217" s="137"/>
    </row>
    <row r="218" spans="1:14" s="71" customFormat="1" ht="34.9" customHeight="1">
      <c r="A218" s="120">
        <v>27</v>
      </c>
      <c r="B218" s="70" t="s">
        <v>26</v>
      </c>
      <c r="C218" s="121" t="s">
        <v>125</v>
      </c>
      <c r="D218" s="120" t="s">
        <v>27</v>
      </c>
      <c r="E218" s="122"/>
      <c r="F218" s="25">
        <f>4.05+4.05+4.05+4.05+3.795+3.795+2.64+2.64+2.64+2.64+3.6*8+31.5+3.6*4+3.795+3.795+4.05*6+1.1+1.1+3.3*4+2.4*13+35.1+3.3+1.575+1.875+3.3+35.1+3.3*6+1.35+1.35+1.35+2.025+2.025+2.025+2.025+1.35*6+3.6+1.35+1.35+3.15</f>
        <v>317.29000000000002</v>
      </c>
      <c r="G218" s="123"/>
      <c r="H218" s="123"/>
      <c r="I218" s="122"/>
      <c r="J218" s="123"/>
      <c r="K218" s="122"/>
      <c r="L218" s="123"/>
      <c r="M218" s="134"/>
      <c r="N218" s="135"/>
    </row>
    <row r="219" spans="1:14" s="71" customFormat="1">
      <c r="A219" s="72"/>
      <c r="B219" s="73"/>
      <c r="C219" s="74" t="s">
        <v>35</v>
      </c>
      <c r="D219" s="75" t="s">
        <v>18</v>
      </c>
      <c r="E219" s="55">
        <v>1</v>
      </c>
      <c r="F219" s="76">
        <f>F218*E219</f>
        <v>317.29000000000002</v>
      </c>
      <c r="G219" s="75"/>
      <c r="H219" s="76"/>
      <c r="I219" s="75"/>
      <c r="J219" s="76">
        <f>F219*I219</f>
        <v>0</v>
      </c>
      <c r="K219" s="75"/>
      <c r="L219" s="76"/>
      <c r="M219" s="136">
        <f t="shared" ref="M219:M223" si="34">H219+J219+L219</f>
        <v>0</v>
      </c>
      <c r="N219" s="135"/>
    </row>
    <row r="220" spans="1:14" s="71" customFormat="1">
      <c r="A220" s="72"/>
      <c r="B220" s="73" t="s">
        <v>126</v>
      </c>
      <c r="C220" s="74" t="s">
        <v>28</v>
      </c>
      <c r="D220" s="75" t="s">
        <v>29</v>
      </c>
      <c r="E220" s="75">
        <v>0.19239999999999999</v>
      </c>
      <c r="F220" s="76">
        <f>E220*F218</f>
        <v>61.046596000000001</v>
      </c>
      <c r="G220" s="75"/>
      <c r="H220" s="76"/>
      <c r="I220" s="75"/>
      <c r="J220" s="76"/>
      <c r="K220" s="75"/>
      <c r="L220" s="76">
        <f>K220*F220</f>
        <v>0</v>
      </c>
      <c r="M220" s="136">
        <f t="shared" si="34"/>
        <v>0</v>
      </c>
      <c r="N220" s="135"/>
    </row>
    <row r="221" spans="1:14" s="71" customFormat="1">
      <c r="A221" s="72"/>
      <c r="B221" s="73"/>
      <c r="C221" s="74" t="s">
        <v>30</v>
      </c>
      <c r="D221" s="75" t="s">
        <v>25</v>
      </c>
      <c r="E221" s="75">
        <v>0.34799999999999998</v>
      </c>
      <c r="F221" s="76">
        <f>E221*F218</f>
        <v>110.41692</v>
      </c>
      <c r="G221" s="75"/>
      <c r="H221" s="76"/>
      <c r="I221" s="75"/>
      <c r="J221" s="76"/>
      <c r="K221" s="75"/>
      <c r="L221" s="76">
        <f>K221*F221</f>
        <v>0</v>
      </c>
      <c r="M221" s="136">
        <f t="shared" si="34"/>
        <v>0</v>
      </c>
      <c r="N221" s="135"/>
    </row>
    <row r="222" spans="1:14" s="71" customFormat="1">
      <c r="A222" s="72"/>
      <c r="B222" s="124" t="s">
        <v>128</v>
      </c>
      <c r="C222" s="74" t="s">
        <v>127</v>
      </c>
      <c r="D222" s="75" t="s">
        <v>27</v>
      </c>
      <c r="E222" s="75">
        <v>1</v>
      </c>
      <c r="F222" s="76">
        <f>E222*F218</f>
        <v>317.29000000000002</v>
      </c>
      <c r="G222" s="76"/>
      <c r="H222" s="76">
        <f t="shared" ref="H222" si="35">F222*G222</f>
        <v>0</v>
      </c>
      <c r="I222" s="75"/>
      <c r="J222" s="76"/>
      <c r="K222" s="75"/>
      <c r="L222" s="76"/>
      <c r="M222" s="136">
        <f t="shared" si="34"/>
        <v>0</v>
      </c>
      <c r="N222" s="135"/>
    </row>
    <row r="223" spans="1:14" s="111" customFormat="1" ht="16.5">
      <c r="A223" s="60"/>
      <c r="B223" s="61"/>
      <c r="C223" s="30" t="s">
        <v>47</v>
      </c>
      <c r="D223" s="62" t="s">
        <v>25</v>
      </c>
      <c r="E223" s="69">
        <v>0.65600000000000003</v>
      </c>
      <c r="F223" s="63">
        <f>E223*F218</f>
        <v>208.14224000000002</v>
      </c>
      <c r="G223" s="66"/>
      <c r="H223" s="27">
        <f t="shared" ref="H223" si="36">G223*F223</f>
        <v>0</v>
      </c>
      <c r="I223" s="47"/>
      <c r="J223" s="48"/>
      <c r="K223" s="47"/>
      <c r="L223" s="48"/>
      <c r="M223" s="49">
        <f t="shared" si="34"/>
        <v>0</v>
      </c>
      <c r="N223" s="137"/>
    </row>
    <row r="224" spans="1:14" s="71" customFormat="1" ht="30.6" customHeight="1">
      <c r="A224" s="120">
        <v>28</v>
      </c>
      <c r="B224" s="70" t="s">
        <v>26</v>
      </c>
      <c r="C224" s="121" t="s">
        <v>1019</v>
      </c>
      <c r="D224" s="120" t="s">
        <v>27</v>
      </c>
      <c r="E224" s="122"/>
      <c r="F224" s="25">
        <f>3.795+3.6+3.6+6.24+6.24+6.24+6.24+3.6+3.6+6.24*4+3.6+3.795+4.05+4.05+3.3*24+3.6*6+3.15*15+3.45+1.08*2.185+1.08*2.185+1.08*2.185+1.08*2.185+1.98*2.185+0.98*2.185+1.37*1.985+1.48*2.685+1.08*2.185+0.98*2.185+0.78*2.185+0.78*2.185+0.58*1.185+0.38*1.185+0.58*1.185+0.98*2.185+4.63*2.425+1.48*2.385+1.08*2.185</f>
        <v>286.70330000000007</v>
      </c>
      <c r="G224" s="123"/>
      <c r="H224" s="123"/>
      <c r="I224" s="122"/>
      <c r="J224" s="123"/>
      <c r="K224" s="122"/>
      <c r="L224" s="123"/>
      <c r="M224" s="134"/>
      <c r="N224" s="135"/>
    </row>
    <row r="225" spans="1:14" s="71" customFormat="1">
      <c r="A225" s="72"/>
      <c r="B225" s="73"/>
      <c r="C225" s="74" t="s">
        <v>35</v>
      </c>
      <c r="D225" s="75" t="s">
        <v>18</v>
      </c>
      <c r="E225" s="55">
        <v>1</v>
      </c>
      <c r="F225" s="76">
        <f>F224*E225</f>
        <v>286.70330000000007</v>
      </c>
      <c r="G225" s="75"/>
      <c r="H225" s="76"/>
      <c r="I225" s="75"/>
      <c r="J225" s="76">
        <f>F225*I225</f>
        <v>0</v>
      </c>
      <c r="K225" s="75"/>
      <c r="L225" s="76"/>
      <c r="M225" s="136">
        <f t="shared" ref="M225:M229" si="37">H225+J225+L225</f>
        <v>0</v>
      </c>
      <c r="N225" s="135"/>
    </row>
    <row r="226" spans="1:14" s="71" customFormat="1">
      <c r="A226" s="72"/>
      <c r="B226" s="73" t="s">
        <v>126</v>
      </c>
      <c r="C226" s="74" t="s">
        <v>28</v>
      </c>
      <c r="D226" s="75" t="s">
        <v>29</v>
      </c>
      <c r="E226" s="75">
        <v>0.19239999999999999</v>
      </c>
      <c r="F226" s="76">
        <f>E226*F224</f>
        <v>55.161714920000009</v>
      </c>
      <c r="G226" s="75"/>
      <c r="H226" s="76"/>
      <c r="I226" s="75"/>
      <c r="J226" s="76"/>
      <c r="K226" s="75"/>
      <c r="L226" s="76">
        <f>K226*F226</f>
        <v>0</v>
      </c>
      <c r="M226" s="136">
        <f t="shared" si="37"/>
        <v>0</v>
      </c>
      <c r="N226" s="135"/>
    </row>
    <row r="227" spans="1:14" s="71" customFormat="1">
      <c r="A227" s="72"/>
      <c r="B227" s="73"/>
      <c r="C227" s="74" t="s">
        <v>30</v>
      </c>
      <c r="D227" s="75" t="s">
        <v>25</v>
      </c>
      <c r="E227" s="75">
        <v>0.34799999999999998</v>
      </c>
      <c r="F227" s="76">
        <f>E227*F224</f>
        <v>99.772748400000012</v>
      </c>
      <c r="G227" s="75"/>
      <c r="H227" s="76"/>
      <c r="I227" s="75"/>
      <c r="J227" s="76"/>
      <c r="K227" s="75"/>
      <c r="L227" s="76">
        <f>K227*F227</f>
        <v>0</v>
      </c>
      <c r="M227" s="136">
        <f t="shared" si="37"/>
        <v>0</v>
      </c>
      <c r="N227" s="135"/>
    </row>
    <row r="228" spans="1:14" s="71" customFormat="1">
      <c r="A228" s="72"/>
      <c r="B228" s="124" t="s">
        <v>128</v>
      </c>
      <c r="C228" s="74" t="s">
        <v>129</v>
      </c>
      <c r="D228" s="75" t="s">
        <v>27</v>
      </c>
      <c r="E228" s="75">
        <v>1</v>
      </c>
      <c r="F228" s="76">
        <f>E228*F224</f>
        <v>286.70330000000007</v>
      </c>
      <c r="G228" s="76"/>
      <c r="H228" s="76">
        <f t="shared" ref="H228" si="38">F228*G228</f>
        <v>0</v>
      </c>
      <c r="I228" s="75"/>
      <c r="J228" s="76"/>
      <c r="K228" s="75"/>
      <c r="L228" s="76"/>
      <c r="M228" s="136">
        <f t="shared" si="37"/>
        <v>0</v>
      </c>
      <c r="N228" s="135"/>
    </row>
    <row r="229" spans="1:14" s="111" customFormat="1" ht="16.5">
      <c r="A229" s="60"/>
      <c r="B229" s="61"/>
      <c r="C229" s="30" t="s">
        <v>47</v>
      </c>
      <c r="D229" s="62" t="s">
        <v>25</v>
      </c>
      <c r="E229" s="69">
        <v>0.65600000000000003</v>
      </c>
      <c r="F229" s="63">
        <f>E229*F224</f>
        <v>188.07736480000005</v>
      </c>
      <c r="G229" s="66"/>
      <c r="H229" s="27">
        <f t="shared" ref="H229" si="39">G229*F229</f>
        <v>0</v>
      </c>
      <c r="I229" s="47"/>
      <c r="J229" s="48"/>
      <c r="K229" s="47"/>
      <c r="L229" s="48"/>
      <c r="M229" s="49">
        <f t="shared" si="37"/>
        <v>0</v>
      </c>
      <c r="N229" s="137"/>
    </row>
    <row r="230" spans="1:14" s="71" customFormat="1" ht="30.6" customHeight="1">
      <c r="A230" s="120">
        <v>29</v>
      </c>
      <c r="B230" s="70" t="s">
        <v>131</v>
      </c>
      <c r="C230" s="121" t="s">
        <v>130</v>
      </c>
      <c r="D230" s="120" t="s">
        <v>27</v>
      </c>
      <c r="E230" s="122"/>
      <c r="F230" s="25">
        <v>602.9</v>
      </c>
      <c r="G230" s="123"/>
      <c r="H230" s="123"/>
      <c r="I230" s="122"/>
      <c r="J230" s="123"/>
      <c r="K230" s="122"/>
      <c r="L230" s="123"/>
      <c r="M230" s="134"/>
      <c r="N230" s="135"/>
    </row>
    <row r="231" spans="1:14" s="71" customFormat="1">
      <c r="A231" s="72"/>
      <c r="B231" s="73"/>
      <c r="C231" s="74" t="s">
        <v>35</v>
      </c>
      <c r="D231" s="75" t="s">
        <v>18</v>
      </c>
      <c r="E231" s="55">
        <v>1</v>
      </c>
      <c r="F231" s="76">
        <f>F230*E231</f>
        <v>602.9</v>
      </c>
      <c r="G231" s="75"/>
      <c r="H231" s="76"/>
      <c r="I231" s="75"/>
      <c r="J231" s="76">
        <f>F231*I231</f>
        <v>0</v>
      </c>
      <c r="K231" s="75"/>
      <c r="L231" s="76"/>
      <c r="M231" s="136">
        <f t="shared" ref="M231:M235" si="40">H231+J231+L231</f>
        <v>0</v>
      </c>
      <c r="N231" s="135"/>
    </row>
    <row r="232" spans="1:14" s="71" customFormat="1">
      <c r="A232" s="72"/>
      <c r="B232" s="73" t="s">
        <v>135</v>
      </c>
      <c r="C232" s="74" t="s">
        <v>132</v>
      </c>
      <c r="D232" s="75" t="s">
        <v>20</v>
      </c>
      <c r="E232" s="75">
        <v>5</v>
      </c>
      <c r="F232" s="76">
        <f>E232*F230</f>
        <v>3014.5</v>
      </c>
      <c r="G232" s="75"/>
      <c r="H232" s="76">
        <f>G232*F232</f>
        <v>0</v>
      </c>
      <c r="I232" s="75"/>
      <c r="J232" s="76"/>
      <c r="K232" s="75"/>
      <c r="L232" s="76"/>
      <c r="M232" s="136">
        <f t="shared" si="40"/>
        <v>0</v>
      </c>
      <c r="N232" s="135"/>
    </row>
    <row r="233" spans="1:14" s="71" customFormat="1">
      <c r="A233" s="72"/>
      <c r="B233" s="73"/>
      <c r="C233" s="74" t="s">
        <v>30</v>
      </c>
      <c r="D233" s="75" t="s">
        <v>27</v>
      </c>
      <c r="E233" s="75">
        <f>3.1/100</f>
        <v>3.1E-2</v>
      </c>
      <c r="F233" s="76">
        <f>E233*F230</f>
        <v>18.689899999999998</v>
      </c>
      <c r="G233" s="75"/>
      <c r="H233" s="76"/>
      <c r="I233" s="75"/>
      <c r="J233" s="76"/>
      <c r="K233" s="75"/>
      <c r="L233" s="76">
        <f>K233*F233</f>
        <v>0</v>
      </c>
      <c r="M233" s="136">
        <f t="shared" si="40"/>
        <v>0</v>
      </c>
      <c r="N233" s="135"/>
    </row>
    <row r="234" spans="1:14" s="71" customFormat="1">
      <c r="A234" s="72"/>
      <c r="B234" s="124"/>
      <c r="C234" s="74" t="s">
        <v>121</v>
      </c>
      <c r="D234" s="75" t="s">
        <v>27</v>
      </c>
      <c r="E234" s="75">
        <v>1.08</v>
      </c>
      <c r="F234" s="76">
        <f>E234*F230</f>
        <v>651.13200000000006</v>
      </c>
      <c r="G234" s="76"/>
      <c r="H234" s="76">
        <f t="shared" ref="H234" si="41">F234*G234</f>
        <v>0</v>
      </c>
      <c r="I234" s="75"/>
      <c r="J234" s="76"/>
      <c r="K234" s="75"/>
      <c r="L234" s="76"/>
      <c r="M234" s="136">
        <f t="shared" si="40"/>
        <v>0</v>
      </c>
      <c r="N234" s="135"/>
    </row>
    <row r="235" spans="1:14" s="111" customFormat="1" ht="16.5">
      <c r="A235" s="60"/>
      <c r="B235" s="61"/>
      <c r="C235" s="30" t="s">
        <v>47</v>
      </c>
      <c r="D235" s="62" t="s">
        <v>25</v>
      </c>
      <c r="E235" s="69">
        <v>1E-3</v>
      </c>
      <c r="F235" s="63">
        <f>E235*F230</f>
        <v>0.60289999999999999</v>
      </c>
      <c r="G235" s="66"/>
      <c r="H235" s="27">
        <f t="shared" ref="H235" si="42">G235*F235</f>
        <v>0</v>
      </c>
      <c r="I235" s="47"/>
      <c r="J235" s="48"/>
      <c r="K235" s="47"/>
      <c r="L235" s="48"/>
      <c r="M235" s="49">
        <f t="shared" si="40"/>
        <v>0</v>
      </c>
      <c r="N235" s="137"/>
    </row>
    <row r="236" spans="1:14" s="71" customFormat="1" ht="30" customHeight="1">
      <c r="A236" s="120">
        <v>30</v>
      </c>
      <c r="B236" s="70" t="s">
        <v>133</v>
      </c>
      <c r="C236" s="121" t="s">
        <v>134</v>
      </c>
      <c r="D236" s="120" t="s">
        <v>27</v>
      </c>
      <c r="E236" s="122"/>
      <c r="F236" s="25">
        <v>602.9</v>
      </c>
      <c r="G236" s="123"/>
      <c r="H236" s="123"/>
      <c r="I236" s="122"/>
      <c r="J236" s="123"/>
      <c r="K236" s="122"/>
      <c r="L236" s="123"/>
      <c r="M236" s="134"/>
      <c r="N236" s="135"/>
    </row>
    <row r="237" spans="1:14" s="71" customFormat="1">
      <c r="A237" s="72"/>
      <c r="B237" s="73"/>
      <c r="C237" s="74" t="s">
        <v>35</v>
      </c>
      <c r="D237" s="75" t="s">
        <v>18</v>
      </c>
      <c r="E237" s="55">
        <v>1</v>
      </c>
      <c r="F237" s="76">
        <f>F236*E237</f>
        <v>602.9</v>
      </c>
      <c r="G237" s="75"/>
      <c r="H237" s="76"/>
      <c r="I237" s="75"/>
      <c r="J237" s="76">
        <f>F237*I237</f>
        <v>0</v>
      </c>
      <c r="K237" s="75"/>
      <c r="L237" s="76"/>
      <c r="M237" s="136">
        <f t="shared" ref="M237:M240" si="43">H237+J237+L237</f>
        <v>0</v>
      </c>
      <c r="N237" s="135"/>
    </row>
    <row r="238" spans="1:14" s="71" customFormat="1">
      <c r="A238" s="72"/>
      <c r="B238" s="73"/>
      <c r="C238" s="74" t="s">
        <v>30</v>
      </c>
      <c r="D238" s="75" t="s">
        <v>27</v>
      </c>
      <c r="E238" s="75">
        <v>7.7000000000000002E-3</v>
      </c>
      <c r="F238" s="76">
        <f>E238*F236</f>
        <v>4.6423300000000003</v>
      </c>
      <c r="G238" s="75"/>
      <c r="H238" s="76"/>
      <c r="I238" s="75"/>
      <c r="J238" s="76"/>
      <c r="K238" s="75"/>
      <c r="L238" s="76">
        <f>K238*F238</f>
        <v>0</v>
      </c>
      <c r="M238" s="136">
        <f t="shared" si="43"/>
        <v>0</v>
      </c>
      <c r="N238" s="135"/>
    </row>
    <row r="239" spans="1:14" s="71" customFormat="1">
      <c r="A239" s="72"/>
      <c r="B239" s="124" t="s">
        <v>128</v>
      </c>
      <c r="C239" s="74" t="s">
        <v>136</v>
      </c>
      <c r="D239" s="75" t="s">
        <v>27</v>
      </c>
      <c r="E239" s="75">
        <v>1.03</v>
      </c>
      <c r="F239" s="76">
        <f>E239*F236</f>
        <v>620.98699999999997</v>
      </c>
      <c r="G239" s="76"/>
      <c r="H239" s="76">
        <f t="shared" ref="H239" si="44">F239*G239</f>
        <v>0</v>
      </c>
      <c r="I239" s="75"/>
      <c r="J239" s="76"/>
      <c r="K239" s="75"/>
      <c r="L239" s="76"/>
      <c r="M239" s="136">
        <f t="shared" si="43"/>
        <v>0</v>
      </c>
      <c r="N239" s="135"/>
    </row>
    <row r="240" spans="1:14" s="111" customFormat="1" ht="16.5">
      <c r="A240" s="60"/>
      <c r="B240" s="61"/>
      <c r="C240" s="30" t="s">
        <v>47</v>
      </c>
      <c r="D240" s="62" t="s">
        <v>25</v>
      </c>
      <c r="E240" s="69">
        <v>0.03</v>
      </c>
      <c r="F240" s="63">
        <f>E240*F236</f>
        <v>18.087</v>
      </c>
      <c r="G240" s="66"/>
      <c r="H240" s="27">
        <f t="shared" ref="H240" si="45">G240*F240</f>
        <v>0</v>
      </c>
      <c r="I240" s="47"/>
      <c r="J240" s="48"/>
      <c r="K240" s="47"/>
      <c r="L240" s="48"/>
      <c r="M240" s="49">
        <f t="shared" si="43"/>
        <v>0</v>
      </c>
      <c r="N240" s="137"/>
    </row>
    <row r="241" spans="1:14" s="71" customFormat="1" ht="47.45" customHeight="1">
      <c r="A241" s="120">
        <v>31</v>
      </c>
      <c r="B241" s="70" t="s">
        <v>138</v>
      </c>
      <c r="C241" s="121" t="s">
        <v>130</v>
      </c>
      <c r="D241" s="120" t="s">
        <v>27</v>
      </c>
      <c r="E241" s="122"/>
      <c r="F241" s="25">
        <v>602.9</v>
      </c>
      <c r="G241" s="123"/>
      <c r="H241" s="123"/>
      <c r="I241" s="122"/>
      <c r="J241" s="123"/>
      <c r="K241" s="122"/>
      <c r="L241" s="123"/>
      <c r="M241" s="134"/>
      <c r="N241" s="135"/>
    </row>
    <row r="242" spans="1:14" s="71" customFormat="1">
      <c r="A242" s="72"/>
      <c r="B242" s="73"/>
      <c r="C242" s="74" t="s">
        <v>35</v>
      </c>
      <c r="D242" s="75" t="s">
        <v>18</v>
      </c>
      <c r="E242" s="55">
        <v>1</v>
      </c>
      <c r="F242" s="76">
        <f>F241*E242</f>
        <v>602.9</v>
      </c>
      <c r="G242" s="75"/>
      <c r="H242" s="76"/>
      <c r="I242" s="75"/>
      <c r="J242" s="76">
        <f>F242*I242</f>
        <v>0</v>
      </c>
      <c r="K242" s="75"/>
      <c r="L242" s="76"/>
      <c r="M242" s="136">
        <f t="shared" ref="M242:M245" si="46">H242+J242+L242</f>
        <v>0</v>
      </c>
      <c r="N242" s="135"/>
    </row>
    <row r="243" spans="1:14" s="71" customFormat="1">
      <c r="A243" s="72"/>
      <c r="B243" s="73"/>
      <c r="C243" s="74" t="s">
        <v>137</v>
      </c>
      <c r="D243" s="75" t="s">
        <v>20</v>
      </c>
      <c r="E243" s="75">
        <v>5</v>
      </c>
      <c r="F243" s="76">
        <f>E243*F241</f>
        <v>3014.5</v>
      </c>
      <c r="G243" s="75"/>
      <c r="H243" s="76">
        <f>G243*F243</f>
        <v>0</v>
      </c>
      <c r="I243" s="75"/>
      <c r="J243" s="76"/>
      <c r="K243" s="75"/>
      <c r="L243" s="76"/>
      <c r="M243" s="136">
        <f t="shared" si="46"/>
        <v>0</v>
      </c>
      <c r="N243" s="135"/>
    </row>
    <row r="244" spans="1:14" s="71" customFormat="1">
      <c r="A244" s="72"/>
      <c r="B244" s="73"/>
      <c r="C244" s="74" t="s">
        <v>30</v>
      </c>
      <c r="D244" s="75" t="s">
        <v>27</v>
      </c>
      <c r="E244" s="75">
        <v>5.7999999999999996E-3</v>
      </c>
      <c r="F244" s="76">
        <f>E244*F241</f>
        <v>3.4968199999999996</v>
      </c>
      <c r="G244" s="75"/>
      <c r="H244" s="76"/>
      <c r="I244" s="75"/>
      <c r="J244" s="76"/>
      <c r="K244" s="75"/>
      <c r="L244" s="76">
        <f>K244*F244</f>
        <v>0</v>
      </c>
      <c r="M244" s="136">
        <f t="shared" si="46"/>
        <v>0</v>
      </c>
      <c r="N244" s="135"/>
    </row>
    <row r="245" spans="1:14" s="111" customFormat="1" ht="16.5">
      <c r="A245" s="60"/>
      <c r="B245" s="61"/>
      <c r="C245" s="30" t="s">
        <v>47</v>
      </c>
      <c r="D245" s="62" t="s">
        <v>25</v>
      </c>
      <c r="E245" s="69">
        <v>1.9E-3</v>
      </c>
      <c r="F245" s="63">
        <f>E245*F241</f>
        <v>1.14551</v>
      </c>
      <c r="G245" s="66"/>
      <c r="H245" s="27">
        <f t="shared" ref="H245" si="47">G245*F245</f>
        <v>0</v>
      </c>
      <c r="I245" s="47"/>
      <c r="J245" s="48"/>
      <c r="K245" s="47"/>
      <c r="L245" s="48"/>
      <c r="M245" s="49">
        <f t="shared" si="46"/>
        <v>0</v>
      </c>
      <c r="N245" s="137"/>
    </row>
    <row r="246" spans="1:14" s="71" customFormat="1" ht="29.45" customHeight="1">
      <c r="A246" s="120">
        <v>32</v>
      </c>
      <c r="B246" s="70" t="s">
        <v>140</v>
      </c>
      <c r="C246" s="121" t="s">
        <v>139</v>
      </c>
      <c r="D246" s="120" t="s">
        <v>27</v>
      </c>
      <c r="E246" s="122"/>
      <c r="F246" s="25">
        <v>318.89999999999998</v>
      </c>
      <c r="G246" s="123"/>
      <c r="H246" s="123"/>
      <c r="I246" s="122"/>
      <c r="J246" s="123"/>
      <c r="K246" s="122"/>
      <c r="L246" s="123"/>
      <c r="M246" s="134"/>
      <c r="N246" s="135"/>
    </row>
    <row r="247" spans="1:14" s="71" customFormat="1">
      <c r="A247" s="72"/>
      <c r="B247" s="73"/>
      <c r="C247" s="74" t="s">
        <v>35</v>
      </c>
      <c r="D247" s="75" t="s">
        <v>18</v>
      </c>
      <c r="E247" s="55">
        <v>1</v>
      </c>
      <c r="F247" s="76">
        <f>F246*E247</f>
        <v>318.89999999999998</v>
      </c>
      <c r="G247" s="75"/>
      <c r="H247" s="76"/>
      <c r="I247" s="75"/>
      <c r="J247" s="76">
        <f>F247*I247</f>
        <v>0</v>
      </c>
      <c r="K247" s="75"/>
      <c r="L247" s="76"/>
      <c r="M247" s="136">
        <f t="shared" ref="M247:M248" si="48">H247+J247+L247</f>
        <v>0</v>
      </c>
      <c r="N247" s="135"/>
    </row>
    <row r="248" spans="1:14" s="131" customFormat="1" ht="60">
      <c r="A248" s="72"/>
      <c r="B248" s="77"/>
      <c r="C248" s="79" t="s">
        <v>141</v>
      </c>
      <c r="D248" s="79" t="s">
        <v>27</v>
      </c>
      <c r="E248" s="79">
        <v>1</v>
      </c>
      <c r="F248" s="80">
        <f>F246</f>
        <v>318.89999999999998</v>
      </c>
      <c r="G248" s="79"/>
      <c r="H248" s="80">
        <f>G248*F248</f>
        <v>0</v>
      </c>
      <c r="I248" s="79"/>
      <c r="J248" s="80"/>
      <c r="K248" s="79"/>
      <c r="L248" s="80"/>
      <c r="M248" s="138">
        <f t="shared" si="48"/>
        <v>0</v>
      </c>
      <c r="N248" s="412"/>
    </row>
    <row r="249" spans="1:14" s="71" customFormat="1" ht="47.45" customHeight="1">
      <c r="A249" s="120">
        <v>33</v>
      </c>
      <c r="B249" s="132" t="s">
        <v>142</v>
      </c>
      <c r="C249" s="121" t="s">
        <v>143</v>
      </c>
      <c r="D249" s="120" t="s">
        <v>27</v>
      </c>
      <c r="E249" s="139"/>
      <c r="F249" s="187">
        <v>362.9</v>
      </c>
      <c r="G249" s="123"/>
      <c r="H249" s="123"/>
      <c r="I249" s="122"/>
      <c r="J249" s="123"/>
      <c r="K249" s="122"/>
      <c r="L249" s="123"/>
      <c r="M249" s="134"/>
      <c r="N249" s="135"/>
    </row>
    <row r="250" spans="1:14" s="71" customFormat="1">
      <c r="A250" s="72"/>
      <c r="B250" s="73"/>
      <c r="C250" s="74" t="s">
        <v>35</v>
      </c>
      <c r="D250" s="75" t="s">
        <v>18</v>
      </c>
      <c r="E250" s="55">
        <v>1</v>
      </c>
      <c r="F250" s="76">
        <f>F249*E250</f>
        <v>362.9</v>
      </c>
      <c r="G250" s="75"/>
      <c r="H250" s="76"/>
      <c r="I250" s="75"/>
      <c r="J250" s="76">
        <f>F250*I250</f>
        <v>0</v>
      </c>
      <c r="K250" s="75"/>
      <c r="L250" s="76"/>
      <c r="M250" s="136">
        <f t="shared" ref="M250:M254" si="49">H250+J250+L250</f>
        <v>0</v>
      </c>
      <c r="N250" s="135"/>
    </row>
    <row r="251" spans="1:14" s="71" customFormat="1">
      <c r="A251" s="72"/>
      <c r="B251" s="73"/>
      <c r="C251" s="74" t="s">
        <v>30</v>
      </c>
      <c r="D251" s="75" t="s">
        <v>27</v>
      </c>
      <c r="E251" s="75">
        <v>0.22</v>
      </c>
      <c r="F251" s="76">
        <f>E251*F249</f>
        <v>79.837999999999994</v>
      </c>
      <c r="G251" s="75"/>
      <c r="H251" s="76"/>
      <c r="I251" s="75"/>
      <c r="J251" s="76"/>
      <c r="K251" s="75"/>
      <c r="L251" s="76">
        <f>K251*F251</f>
        <v>0</v>
      </c>
      <c r="M251" s="136">
        <f t="shared" si="49"/>
        <v>0</v>
      </c>
      <c r="N251" s="135"/>
    </row>
    <row r="252" spans="1:14" s="71" customFormat="1">
      <c r="A252" s="72"/>
      <c r="B252" s="73"/>
      <c r="C252" s="74" t="s">
        <v>34</v>
      </c>
      <c r="D252" s="75" t="s">
        <v>16</v>
      </c>
      <c r="E252" s="75">
        <f>3.5/100</f>
        <v>3.5000000000000003E-2</v>
      </c>
      <c r="F252" s="76">
        <f>E252*F249</f>
        <v>12.701500000000001</v>
      </c>
      <c r="G252" s="75"/>
      <c r="H252" s="76">
        <f>G252*F252</f>
        <v>0</v>
      </c>
      <c r="I252" s="75"/>
      <c r="J252" s="76"/>
      <c r="K252" s="75"/>
      <c r="L252" s="76"/>
      <c r="M252" s="136">
        <f t="shared" si="49"/>
        <v>0</v>
      </c>
      <c r="N252" s="135"/>
    </row>
    <row r="253" spans="1:14" s="71" customFormat="1">
      <c r="A253" s="72"/>
      <c r="B253" s="73"/>
      <c r="C253" s="74" t="s">
        <v>144</v>
      </c>
      <c r="D253" s="75" t="s">
        <v>16</v>
      </c>
      <c r="E253" s="75">
        <f>0.3</f>
        <v>0.3</v>
      </c>
      <c r="F253" s="76">
        <f>E253*F249</f>
        <v>108.86999999999999</v>
      </c>
      <c r="G253" s="75"/>
      <c r="H253" s="76">
        <f>G253*F253</f>
        <v>0</v>
      </c>
      <c r="I253" s="75"/>
      <c r="J253" s="76"/>
      <c r="K253" s="75"/>
      <c r="L253" s="76"/>
      <c r="M253" s="136">
        <f t="shared" si="49"/>
        <v>0</v>
      </c>
      <c r="N253" s="135"/>
    </row>
    <row r="254" spans="1:14" s="111" customFormat="1" ht="16.5">
      <c r="A254" s="188"/>
      <c r="B254" s="149"/>
      <c r="C254" s="148" t="s">
        <v>47</v>
      </c>
      <c r="D254" s="189" t="s">
        <v>25</v>
      </c>
      <c r="E254" s="190">
        <v>1.9E-3</v>
      </c>
      <c r="F254" s="191">
        <f>E254*F249</f>
        <v>0.68950999999999996</v>
      </c>
      <c r="G254" s="192"/>
      <c r="H254" s="143">
        <f t="shared" ref="H254" si="50">G254*F254</f>
        <v>0</v>
      </c>
      <c r="I254" s="51"/>
      <c r="J254" s="52"/>
      <c r="K254" s="51"/>
      <c r="L254" s="52"/>
      <c r="M254" s="410">
        <f t="shared" si="49"/>
        <v>0</v>
      </c>
      <c r="N254" s="137"/>
    </row>
    <row r="255" spans="1:14" s="71" customFormat="1" ht="47.45" customHeight="1">
      <c r="A255" s="120">
        <v>34</v>
      </c>
      <c r="B255" s="193" t="s">
        <v>160</v>
      </c>
      <c r="C255" s="121" t="s">
        <v>161</v>
      </c>
      <c r="D255" s="120" t="s">
        <v>78</v>
      </c>
      <c r="E255" s="122"/>
      <c r="F255" s="25">
        <v>2500</v>
      </c>
      <c r="G255" s="123"/>
      <c r="H255" s="123"/>
      <c r="I255" s="122"/>
      <c r="J255" s="123"/>
      <c r="K255" s="122"/>
      <c r="L255" s="123"/>
      <c r="M255" s="134"/>
      <c r="N255" s="135"/>
    </row>
    <row r="256" spans="1:14" s="71" customFormat="1">
      <c r="A256" s="72"/>
      <c r="B256" s="73"/>
      <c r="C256" s="74" t="s">
        <v>35</v>
      </c>
      <c r="D256" s="75" t="s">
        <v>18</v>
      </c>
      <c r="E256" s="55">
        <v>1</v>
      </c>
      <c r="F256" s="76">
        <f>F255*E256</f>
        <v>2500</v>
      </c>
      <c r="G256" s="75"/>
      <c r="H256" s="76"/>
      <c r="I256" s="75"/>
      <c r="J256" s="76">
        <f>F256*I256</f>
        <v>0</v>
      </c>
      <c r="K256" s="75"/>
      <c r="L256" s="76"/>
      <c r="M256" s="136">
        <f t="shared" ref="M256" si="51">H256+J256+L256</f>
        <v>0</v>
      </c>
      <c r="N256" s="135"/>
    </row>
    <row r="257" spans="1:14" s="71" customFormat="1" ht="47.45" customHeight="1">
      <c r="A257" s="120">
        <v>35</v>
      </c>
      <c r="B257" s="193" t="s">
        <v>160</v>
      </c>
      <c r="C257" s="121" t="s">
        <v>162</v>
      </c>
      <c r="D257" s="120" t="s">
        <v>16</v>
      </c>
      <c r="E257" s="122"/>
      <c r="F257" s="25">
        <f>F255/1.9</f>
        <v>1315.7894736842106</v>
      </c>
      <c r="G257" s="123"/>
      <c r="H257" s="123"/>
      <c r="I257" s="122"/>
      <c r="J257" s="123"/>
      <c r="K257" s="122"/>
      <c r="L257" s="123"/>
      <c r="M257" s="134"/>
      <c r="N257" s="135"/>
    </row>
    <row r="258" spans="1:14" s="71" customFormat="1">
      <c r="A258" s="72"/>
      <c r="B258" s="73"/>
      <c r="C258" s="74" t="s">
        <v>163</v>
      </c>
      <c r="D258" s="75" t="s">
        <v>164</v>
      </c>
      <c r="E258" s="75">
        <v>0.115</v>
      </c>
      <c r="F258" s="76">
        <f>F257*E258</f>
        <v>151.31578947368422</v>
      </c>
      <c r="G258" s="75"/>
      <c r="H258" s="76"/>
      <c r="I258" s="75"/>
      <c r="J258" s="76"/>
      <c r="K258" s="75"/>
      <c r="L258" s="76">
        <f>K258*F258</f>
        <v>0</v>
      </c>
      <c r="M258" s="136">
        <f>H258+J258+L258</f>
        <v>0</v>
      </c>
      <c r="N258" s="135"/>
    </row>
    <row r="259" spans="1:14" s="195" customFormat="1">
      <c r="A259" s="72"/>
      <c r="B259" s="73"/>
      <c r="C259" s="74" t="s">
        <v>165</v>
      </c>
      <c r="D259" s="75" t="s">
        <v>164</v>
      </c>
      <c r="E259" s="75"/>
      <c r="F259" s="76">
        <v>9</v>
      </c>
      <c r="G259" s="75"/>
      <c r="H259" s="76"/>
      <c r="I259" s="75"/>
      <c r="J259" s="76"/>
      <c r="K259" s="75"/>
      <c r="L259" s="76">
        <f>K259*F259</f>
        <v>0</v>
      </c>
      <c r="M259" s="136">
        <f>H259+J259+L259</f>
        <v>0</v>
      </c>
      <c r="N259" s="194"/>
    </row>
    <row r="260" spans="1:14" s="111" customFormat="1" ht="17.25" thickBot="1">
      <c r="A260" s="150"/>
      <c r="B260" s="149"/>
      <c r="C260" s="148"/>
      <c r="D260" s="147"/>
      <c r="E260" s="146"/>
      <c r="F260" s="145"/>
      <c r="G260" s="144"/>
      <c r="H260" s="143"/>
      <c r="I260" s="142"/>
      <c r="J260" s="141"/>
      <c r="K260" s="51"/>
      <c r="L260" s="52"/>
      <c r="M260" s="140"/>
    </row>
    <row r="261" spans="1:14" s="133" customFormat="1" ht="16.5" thickTop="1" thickBot="1">
      <c r="A261" s="164"/>
      <c r="B261" s="165"/>
      <c r="C261" s="166" t="s">
        <v>60</v>
      </c>
      <c r="D261" s="167"/>
      <c r="E261" s="168"/>
      <c r="F261" s="169"/>
      <c r="G261" s="170"/>
      <c r="H261" s="171">
        <f>SUM(H7:H254)</f>
        <v>0</v>
      </c>
      <c r="I261" s="172"/>
      <c r="J261" s="173">
        <f>SUM(J7:J254)</f>
        <v>0</v>
      </c>
      <c r="K261" s="172"/>
      <c r="L261" s="174">
        <f>SUM(L7:L254)</f>
        <v>0</v>
      </c>
      <c r="M261" s="175">
        <f>SUM(M7:M259)</f>
        <v>0</v>
      </c>
    </row>
    <row r="262" spans="1:14" s="7" customFormat="1" ht="15.75" thickTop="1">
      <c r="A262" s="154"/>
      <c r="B262" s="86"/>
      <c r="C262" s="87" t="s">
        <v>158</v>
      </c>
      <c r="D262" s="88">
        <v>0</v>
      </c>
      <c r="E262" s="89"/>
      <c r="F262" s="90"/>
      <c r="G262" s="153"/>
      <c r="H262" s="152"/>
      <c r="I262" s="90"/>
      <c r="J262" s="152"/>
      <c r="K262" s="90"/>
      <c r="L262" s="152"/>
      <c r="M262" s="151">
        <f>H261*D262</f>
        <v>0</v>
      </c>
    </row>
    <row r="263" spans="1:14" s="7" customFormat="1">
      <c r="A263" s="21"/>
      <c r="B263" s="91"/>
      <c r="C263" s="92" t="s">
        <v>60</v>
      </c>
      <c r="D263" s="93"/>
      <c r="E263" s="94"/>
      <c r="F263" s="95"/>
      <c r="G263" s="96"/>
      <c r="H263" s="95"/>
      <c r="I263" s="95"/>
      <c r="J263" s="95"/>
      <c r="K263" s="95"/>
      <c r="L263" s="95"/>
      <c r="M263" s="97">
        <f>SUM(M261:M262)</f>
        <v>0</v>
      </c>
    </row>
    <row r="264" spans="1:14" s="7" customFormat="1">
      <c r="A264" s="21"/>
      <c r="B264" s="91"/>
      <c r="C264" s="98" t="s">
        <v>61</v>
      </c>
      <c r="D264" s="99">
        <v>0</v>
      </c>
      <c r="E264" s="94"/>
      <c r="F264" s="95"/>
      <c r="G264" s="96"/>
      <c r="H264" s="95"/>
      <c r="I264" s="95"/>
      <c r="J264" s="95"/>
      <c r="K264" s="95"/>
      <c r="L264" s="95"/>
      <c r="M264" s="97">
        <f>M263*D264</f>
        <v>0</v>
      </c>
    </row>
    <row r="265" spans="1:14" s="7" customFormat="1">
      <c r="A265" s="21"/>
      <c r="B265" s="91"/>
      <c r="C265" s="92" t="s">
        <v>60</v>
      </c>
      <c r="D265" s="93"/>
      <c r="E265" s="94"/>
      <c r="F265" s="95"/>
      <c r="G265" s="96"/>
      <c r="H265" s="95"/>
      <c r="I265" s="95"/>
      <c r="J265" s="95"/>
      <c r="K265" s="95"/>
      <c r="L265" s="95"/>
      <c r="M265" s="97">
        <f>SUM(M263:M264)</f>
        <v>0</v>
      </c>
    </row>
    <row r="266" spans="1:14" s="7" customFormat="1">
      <c r="A266" s="21"/>
      <c r="B266" s="91"/>
      <c r="C266" s="98" t="s">
        <v>62</v>
      </c>
      <c r="D266" s="99">
        <v>0</v>
      </c>
      <c r="E266" s="94"/>
      <c r="F266" s="95"/>
      <c r="G266" s="96"/>
      <c r="H266" s="95"/>
      <c r="I266" s="95"/>
      <c r="J266" s="95"/>
      <c r="K266" s="95"/>
      <c r="L266" s="95"/>
      <c r="M266" s="97">
        <f>M265*D266</f>
        <v>0</v>
      </c>
    </row>
    <row r="267" spans="1:14" s="7" customFormat="1">
      <c r="A267" s="21"/>
      <c r="B267" s="91"/>
      <c r="C267" s="92" t="s">
        <v>60</v>
      </c>
      <c r="D267" s="93"/>
      <c r="E267" s="94"/>
      <c r="F267" s="95"/>
      <c r="G267" s="96"/>
      <c r="H267" s="95"/>
      <c r="I267" s="95"/>
      <c r="J267" s="95"/>
      <c r="K267" s="95"/>
      <c r="L267" s="95"/>
      <c r="M267" s="97">
        <f>SUM(M265:M266)</f>
        <v>0</v>
      </c>
    </row>
    <row r="268" spans="1:14" s="7" customFormat="1">
      <c r="A268" s="21"/>
      <c r="B268" s="91"/>
      <c r="C268" s="98" t="s">
        <v>159</v>
      </c>
      <c r="D268" s="99">
        <v>0</v>
      </c>
      <c r="E268" s="94"/>
      <c r="F268" s="95"/>
      <c r="G268" s="96"/>
      <c r="H268" s="95"/>
      <c r="I268" s="95"/>
      <c r="J268" s="95"/>
      <c r="K268" s="95"/>
      <c r="L268" s="95"/>
      <c r="M268" s="97">
        <f>M267*D268</f>
        <v>0</v>
      </c>
    </row>
    <row r="269" spans="1:14" s="7" customFormat="1">
      <c r="A269" s="21"/>
      <c r="B269" s="91"/>
      <c r="C269" s="92" t="s">
        <v>60</v>
      </c>
      <c r="D269" s="93"/>
      <c r="E269" s="94"/>
      <c r="F269" s="95"/>
      <c r="G269" s="96"/>
      <c r="H269" s="95"/>
      <c r="I269" s="95"/>
      <c r="J269" s="95"/>
      <c r="K269" s="95"/>
      <c r="L269" s="95"/>
      <c r="M269" s="97">
        <f>SUM(M267:M268)</f>
        <v>0</v>
      </c>
    </row>
    <row r="270" spans="1:14" s="7" customFormat="1" ht="15.75" thickBot="1">
      <c r="A270" s="159"/>
      <c r="B270" s="160"/>
      <c r="C270" s="161" t="s">
        <v>63</v>
      </c>
      <c r="D270" s="162">
        <v>0.18</v>
      </c>
      <c r="E270" s="163"/>
      <c r="F270" s="100"/>
      <c r="G270" s="101"/>
      <c r="H270" s="156"/>
      <c r="I270" s="156"/>
      <c r="J270" s="156"/>
      <c r="K270" s="156"/>
      <c r="L270" s="100"/>
      <c r="M270" s="102">
        <f>M267*D270</f>
        <v>0</v>
      </c>
    </row>
    <row r="271" spans="1:14" s="20" customFormat="1" ht="16.5" thickTop="1" thickBot="1">
      <c r="A271" s="176"/>
      <c r="B271" s="177"/>
      <c r="C271" s="178" t="s">
        <v>64</v>
      </c>
      <c r="D271" s="179"/>
      <c r="E271" s="180"/>
      <c r="F271" s="181"/>
      <c r="G271" s="182"/>
      <c r="H271" s="183"/>
      <c r="I271" s="183"/>
      <c r="J271" s="183"/>
      <c r="K271" s="184"/>
      <c r="L271" s="185"/>
      <c r="M271" s="186">
        <f>SUM(M269:M270)</f>
        <v>0</v>
      </c>
    </row>
    <row r="272" spans="1:14" ht="15.75" thickTop="1">
      <c r="A272" s="158"/>
      <c r="D272" s="155"/>
      <c r="E272" s="155"/>
      <c r="F272" s="155"/>
      <c r="G272" s="157"/>
      <c r="H272" s="155"/>
      <c r="I272" s="155"/>
      <c r="J272" s="155"/>
      <c r="L272" s="155"/>
      <c r="M272" s="404"/>
    </row>
    <row r="273" spans="7:13">
      <c r="G273" s="104"/>
      <c r="M273" s="105"/>
    </row>
    <row r="274" spans="7:13" hidden="1">
      <c r="G274" s="104"/>
      <c r="L274" s="106" t="s">
        <v>65</v>
      </c>
      <c r="M274" s="105">
        <v>52</v>
      </c>
    </row>
    <row r="275" spans="7:13" hidden="1">
      <c r="G275" s="104"/>
      <c r="L275" s="106" t="s">
        <v>66</v>
      </c>
      <c r="M275" s="105">
        <v>49</v>
      </c>
    </row>
    <row r="276" spans="7:13" hidden="1">
      <c r="G276" s="104"/>
      <c r="L276" s="105"/>
    </row>
    <row r="277" spans="7:13">
      <c r="G277" s="104"/>
      <c r="M277" s="105"/>
    </row>
    <row r="278" spans="7:13">
      <c r="G278" s="104"/>
    </row>
    <row r="279" spans="7:13">
      <c r="G279" s="104"/>
    </row>
    <row r="280" spans="7:13">
      <c r="G280" s="104"/>
    </row>
    <row r="281" spans="7:13">
      <c r="G281" s="104"/>
    </row>
    <row r="282" spans="7:13">
      <c r="G282" s="104"/>
    </row>
    <row r="283" spans="7:13">
      <c r="G283" s="104"/>
    </row>
    <row r="284" spans="7:13">
      <c r="G284" s="104"/>
    </row>
    <row r="285" spans="7:13">
      <c r="G285" s="104"/>
    </row>
    <row r="286" spans="7:13">
      <c r="G286" s="104"/>
    </row>
    <row r="287" spans="7:13">
      <c r="G287" s="104"/>
    </row>
    <row r="288" spans="7:13">
      <c r="G288" s="104"/>
    </row>
    <row r="289" spans="7:7">
      <c r="G289" s="104"/>
    </row>
    <row r="290" spans="7:7">
      <c r="G290" s="104"/>
    </row>
    <row r="291" spans="7:7">
      <c r="G291" s="104"/>
    </row>
    <row r="292" spans="7:7">
      <c r="G292" s="104"/>
    </row>
    <row r="293" spans="7:7">
      <c r="G293" s="104"/>
    </row>
    <row r="294" spans="7:7">
      <c r="G294" s="104"/>
    </row>
    <row r="295" spans="7:7">
      <c r="G295" s="104"/>
    </row>
    <row r="296" spans="7:7">
      <c r="G296" s="104"/>
    </row>
    <row r="297" spans="7:7">
      <c r="G297" s="104"/>
    </row>
    <row r="298" spans="7:7">
      <c r="G298" s="104"/>
    </row>
    <row r="299" spans="7:7">
      <c r="G299" s="104"/>
    </row>
    <row r="300" spans="7:7">
      <c r="G300" s="104"/>
    </row>
    <row r="301" spans="7:7">
      <c r="G301" s="104"/>
    </row>
    <row r="302" spans="7:7">
      <c r="G302" s="104"/>
    </row>
    <row r="303" spans="7:7">
      <c r="G303" s="104"/>
    </row>
    <row r="304" spans="7:7">
      <c r="G304" s="104"/>
    </row>
    <row r="305" spans="7:7">
      <c r="G305" s="104"/>
    </row>
    <row r="306" spans="7:7">
      <c r="G306" s="104"/>
    </row>
    <row r="307" spans="7:7">
      <c r="G307" s="104"/>
    </row>
    <row r="308" spans="7:7">
      <c r="G308" s="104"/>
    </row>
    <row r="309" spans="7:7">
      <c r="G309" s="104"/>
    </row>
  </sheetData>
  <autoFilter ref="A6:M259" xr:uid="{B4881281-1EBA-46F3-B728-94151C948F75}"/>
  <mergeCells count="10">
    <mergeCell ref="A3:A5"/>
    <mergeCell ref="B3:B5"/>
    <mergeCell ref="C3:C5"/>
    <mergeCell ref="D3:D5"/>
    <mergeCell ref="E3:M3"/>
    <mergeCell ref="E4:F4"/>
    <mergeCell ref="G4:H4"/>
    <mergeCell ref="I4:J4"/>
    <mergeCell ref="K4:L4"/>
    <mergeCell ref="M4:M5"/>
  </mergeCells>
  <conditionalFormatting sqref="C26:C28">
    <cfRule type="cellIs" dxfId="32" priority="50" operator="lessThan">
      <formula>0</formula>
    </cfRule>
  </conditionalFormatting>
  <conditionalFormatting sqref="C20:C21 C25">
    <cfRule type="cellIs" dxfId="31" priority="51" operator="lessThan">
      <formula>0</formula>
    </cfRule>
  </conditionalFormatting>
  <conditionalFormatting sqref="H66">
    <cfRule type="cellIs" dxfId="30" priority="33" operator="lessThan">
      <formula>0</formula>
    </cfRule>
  </conditionalFormatting>
  <conditionalFormatting sqref="C66">
    <cfRule type="cellIs" dxfId="29" priority="32" operator="lessThan">
      <formula>0</formula>
    </cfRule>
  </conditionalFormatting>
  <conditionalFormatting sqref="C71:C72">
    <cfRule type="cellIs" dxfId="28" priority="31" operator="lessThan">
      <formula>0</formula>
    </cfRule>
  </conditionalFormatting>
  <conditionalFormatting sqref="C22:C23">
    <cfRule type="cellIs" dxfId="27" priority="27" operator="lessThan">
      <formula>0</formula>
    </cfRule>
  </conditionalFormatting>
  <conditionalFormatting sqref="C142">
    <cfRule type="cellIs" dxfId="26" priority="30" operator="lessThan">
      <formula>0</formula>
    </cfRule>
  </conditionalFormatting>
  <conditionalFormatting sqref="C32:C33">
    <cfRule type="cellIs" dxfId="25" priority="26" operator="lessThan">
      <formula>0</formula>
    </cfRule>
  </conditionalFormatting>
  <conditionalFormatting sqref="C36">
    <cfRule type="cellIs" dxfId="24" priority="24" operator="lessThan">
      <formula>0</formula>
    </cfRule>
  </conditionalFormatting>
  <conditionalFormatting sqref="C143">
    <cfRule type="cellIs" dxfId="23" priority="29" operator="lessThan">
      <formula>0</formula>
    </cfRule>
  </conditionalFormatting>
  <conditionalFormatting sqref="C42">
    <cfRule type="cellIs" dxfId="22" priority="22" operator="lessThan">
      <formula>0</formula>
    </cfRule>
  </conditionalFormatting>
  <conditionalFormatting sqref="C40:C41">
    <cfRule type="cellIs" dxfId="21" priority="23" operator="lessThan">
      <formula>0</formula>
    </cfRule>
  </conditionalFormatting>
  <conditionalFormatting sqref="C24">
    <cfRule type="cellIs" dxfId="20" priority="28" operator="lessThan">
      <formula>0</formula>
    </cfRule>
  </conditionalFormatting>
  <conditionalFormatting sqref="C51:C52">
    <cfRule type="cellIs" dxfId="19" priority="19" operator="lessThan">
      <formula>0</formula>
    </cfRule>
  </conditionalFormatting>
  <conditionalFormatting sqref="C34:C35">
    <cfRule type="cellIs" dxfId="18" priority="25" operator="lessThan">
      <formula>0</formula>
    </cfRule>
  </conditionalFormatting>
  <conditionalFormatting sqref="C54">
    <cfRule type="cellIs" dxfId="17" priority="18" operator="lessThan">
      <formula>0</formula>
    </cfRule>
  </conditionalFormatting>
  <conditionalFormatting sqref="C154:C155">
    <cfRule type="cellIs" dxfId="16" priority="15" operator="lessThan">
      <formula>0</formula>
    </cfRule>
  </conditionalFormatting>
  <conditionalFormatting sqref="C46:C47">
    <cfRule type="cellIs" dxfId="15" priority="17" operator="lessThan">
      <formula>0</formula>
    </cfRule>
  </conditionalFormatting>
  <conditionalFormatting sqref="C203">
    <cfRule type="cellIs" dxfId="14" priority="14" operator="lessThan">
      <formula>0</formula>
    </cfRule>
  </conditionalFormatting>
  <conditionalFormatting sqref="C204:C205">
    <cfRule type="cellIs" dxfId="13" priority="13" operator="lessThan">
      <formula>0</formula>
    </cfRule>
  </conditionalFormatting>
  <conditionalFormatting sqref="C209">
    <cfRule type="cellIs" dxfId="12" priority="12" operator="lessThan">
      <formula>0</formula>
    </cfRule>
  </conditionalFormatting>
  <conditionalFormatting sqref="C210:C211">
    <cfRule type="cellIs" dxfId="11" priority="11" operator="lessThan">
      <formula>0</formula>
    </cfRule>
  </conditionalFormatting>
  <conditionalFormatting sqref="C153">
    <cfRule type="cellIs" dxfId="10" priority="16" operator="lessThan">
      <formula>0</formula>
    </cfRule>
  </conditionalFormatting>
  <conditionalFormatting sqref="C10">
    <cfRule type="cellIs" dxfId="9" priority="10" operator="lessThan">
      <formula>0</formula>
    </cfRule>
  </conditionalFormatting>
  <conditionalFormatting sqref="C13">
    <cfRule type="cellIs" dxfId="8" priority="9" operator="lessThan">
      <formula>0</formula>
    </cfRule>
  </conditionalFormatting>
  <conditionalFormatting sqref="C16">
    <cfRule type="cellIs" dxfId="7" priority="8" operator="lessThan">
      <formula>0</formula>
    </cfRule>
  </conditionalFormatting>
  <conditionalFormatting sqref="C147">
    <cfRule type="cellIs" dxfId="6" priority="7" operator="lessThan">
      <formula>0</formula>
    </cfRule>
  </conditionalFormatting>
  <conditionalFormatting sqref="C148">
    <cfRule type="cellIs" dxfId="5" priority="6" operator="lessThan">
      <formula>0</formula>
    </cfRule>
  </conditionalFormatting>
  <conditionalFormatting sqref="C149">
    <cfRule type="cellIs" dxfId="4" priority="5" operator="lessThan">
      <formula>0</formula>
    </cfRule>
  </conditionalFormatting>
  <conditionalFormatting sqref="C167">
    <cfRule type="cellIs" dxfId="3" priority="4" operator="lessThan">
      <formula>0</formula>
    </cfRule>
  </conditionalFormatting>
  <conditionalFormatting sqref="C168:C169">
    <cfRule type="cellIs" dxfId="2" priority="3" operator="lessThan">
      <formula>0</formula>
    </cfRule>
  </conditionalFormatting>
  <conditionalFormatting sqref="C53">
    <cfRule type="cellIs" dxfId="1" priority="2" operator="lessThan">
      <formula>0</formula>
    </cfRule>
  </conditionalFormatting>
  <conditionalFormatting sqref="C5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8DE9-F2CD-4AF7-B43B-74CD56B01189}">
  <sheetPr>
    <tabColor rgb="FFFFFF00"/>
  </sheetPr>
  <dimension ref="A1:M220"/>
  <sheetViews>
    <sheetView showGridLines="0" workbookViewId="0">
      <selection activeCell="M170" sqref="M170"/>
    </sheetView>
  </sheetViews>
  <sheetFormatPr defaultRowHeight="12.75"/>
  <cols>
    <col min="1" max="1" width="4.140625" style="234" customWidth="1"/>
    <col min="2" max="2" width="9.28515625" style="235" customWidth="1"/>
    <col min="3" max="3" width="39.7109375" style="199" customWidth="1"/>
    <col min="4" max="6" width="8.85546875" style="199"/>
    <col min="7" max="7" width="9.85546875" style="199" customWidth="1"/>
    <col min="8" max="8" width="11.42578125" style="199" bestFit="1" customWidth="1"/>
    <col min="9" max="9" width="10.85546875" style="199" customWidth="1"/>
    <col min="10" max="10" width="8.85546875" style="199"/>
    <col min="11" max="11" width="10.7109375" style="199" customWidth="1"/>
    <col min="12" max="12" width="10.42578125" style="199" bestFit="1" customWidth="1"/>
    <col min="13" max="13" width="10.28515625" style="199" customWidth="1"/>
    <col min="14" max="181" width="8.85546875" style="199"/>
    <col min="182" max="182" width="4.140625" style="199" customWidth="1"/>
    <col min="183" max="183" width="9.28515625" style="199" customWidth="1"/>
    <col min="184" max="184" width="39.7109375" style="199" customWidth="1"/>
    <col min="185" max="187" width="8.85546875" style="199"/>
    <col min="188" max="188" width="9.85546875" style="199" customWidth="1"/>
    <col min="189" max="189" width="11.42578125" style="199" bestFit="1" customWidth="1"/>
    <col min="190" max="190" width="10.85546875" style="199" customWidth="1"/>
    <col min="191" max="191" width="8.85546875" style="199"/>
    <col min="192" max="192" width="10.7109375" style="199" customWidth="1"/>
    <col min="193" max="193" width="10.42578125" style="199" bestFit="1" customWidth="1"/>
    <col min="194" max="194" width="10.28515625" style="199" customWidth="1"/>
    <col min="195" max="195" width="11.42578125" style="199" bestFit="1" customWidth="1"/>
    <col min="196" max="437" width="8.85546875" style="199"/>
    <col min="438" max="438" width="4.140625" style="199" customWidth="1"/>
    <col min="439" max="439" width="9.28515625" style="199" customWidth="1"/>
    <col min="440" max="440" width="39.7109375" style="199" customWidth="1"/>
    <col min="441" max="443" width="8.85546875" style="199"/>
    <col min="444" max="444" width="9.85546875" style="199" customWidth="1"/>
    <col min="445" max="445" width="11.42578125" style="199" bestFit="1" customWidth="1"/>
    <col min="446" max="446" width="10.85546875" style="199" customWidth="1"/>
    <col min="447" max="447" width="8.85546875" style="199"/>
    <col min="448" max="448" width="10.7109375" style="199" customWidth="1"/>
    <col min="449" max="449" width="10.42578125" style="199" bestFit="1" customWidth="1"/>
    <col min="450" max="450" width="10.28515625" style="199" customWidth="1"/>
    <col min="451" max="451" width="11.42578125" style="199" bestFit="1" customWidth="1"/>
    <col min="452" max="693" width="8.85546875" style="199"/>
    <col min="694" max="694" width="4.140625" style="199" customWidth="1"/>
    <col min="695" max="695" width="9.28515625" style="199" customWidth="1"/>
    <col min="696" max="696" width="39.7109375" style="199" customWidth="1"/>
    <col min="697" max="699" width="8.85546875" style="199"/>
    <col min="700" max="700" width="9.85546875" style="199" customWidth="1"/>
    <col min="701" max="701" width="11.42578125" style="199" bestFit="1" customWidth="1"/>
    <col min="702" max="702" width="10.85546875" style="199" customWidth="1"/>
    <col min="703" max="703" width="8.85546875" style="199"/>
    <col min="704" max="704" width="10.7109375" style="199" customWidth="1"/>
    <col min="705" max="705" width="10.42578125" style="199" bestFit="1" customWidth="1"/>
    <col min="706" max="706" width="10.28515625" style="199" customWidth="1"/>
    <col min="707" max="707" width="11.42578125" style="199" bestFit="1" customWidth="1"/>
    <col min="708" max="949" width="8.85546875" style="199"/>
    <col min="950" max="950" width="4.140625" style="199" customWidth="1"/>
    <col min="951" max="951" width="9.28515625" style="199" customWidth="1"/>
    <col min="952" max="952" width="39.7109375" style="199" customWidth="1"/>
    <col min="953" max="955" width="8.85546875" style="199"/>
    <col min="956" max="956" width="9.85546875" style="199" customWidth="1"/>
    <col min="957" max="957" width="11.42578125" style="199" bestFit="1" customWidth="1"/>
    <col min="958" max="958" width="10.85546875" style="199" customWidth="1"/>
    <col min="959" max="959" width="8.85546875" style="199"/>
    <col min="960" max="960" width="10.7109375" style="199" customWidth="1"/>
    <col min="961" max="961" width="10.42578125" style="199" bestFit="1" customWidth="1"/>
    <col min="962" max="962" width="10.28515625" style="199" customWidth="1"/>
    <col min="963" max="963" width="11.42578125" style="199" bestFit="1" customWidth="1"/>
    <col min="964" max="1205" width="8.85546875" style="199"/>
    <col min="1206" max="1206" width="4.140625" style="199" customWidth="1"/>
    <col min="1207" max="1207" width="9.28515625" style="199" customWidth="1"/>
    <col min="1208" max="1208" width="39.7109375" style="199" customWidth="1"/>
    <col min="1209" max="1211" width="8.85546875" style="199"/>
    <col min="1212" max="1212" width="9.85546875" style="199" customWidth="1"/>
    <col min="1213" max="1213" width="11.42578125" style="199" bestFit="1" customWidth="1"/>
    <col min="1214" max="1214" width="10.85546875" style="199" customWidth="1"/>
    <col min="1215" max="1215" width="8.85546875" style="199"/>
    <col min="1216" max="1216" width="10.7109375" style="199" customWidth="1"/>
    <col min="1217" max="1217" width="10.42578125" style="199" bestFit="1" customWidth="1"/>
    <col min="1218" max="1218" width="10.28515625" style="199" customWidth="1"/>
    <col min="1219" max="1219" width="11.42578125" style="199" bestFit="1" customWidth="1"/>
    <col min="1220" max="1461" width="8.85546875" style="199"/>
    <col min="1462" max="1462" width="4.140625" style="199" customWidth="1"/>
    <col min="1463" max="1463" width="9.28515625" style="199" customWidth="1"/>
    <col min="1464" max="1464" width="39.7109375" style="199" customWidth="1"/>
    <col min="1465" max="1467" width="8.85546875" style="199"/>
    <col min="1468" max="1468" width="9.85546875" style="199" customWidth="1"/>
    <col min="1469" max="1469" width="11.42578125" style="199" bestFit="1" customWidth="1"/>
    <col min="1470" max="1470" width="10.85546875" style="199" customWidth="1"/>
    <col min="1471" max="1471" width="8.85546875" style="199"/>
    <col min="1472" max="1472" width="10.7109375" style="199" customWidth="1"/>
    <col min="1473" max="1473" width="10.42578125" style="199" bestFit="1" customWidth="1"/>
    <col min="1474" max="1474" width="10.28515625" style="199" customWidth="1"/>
    <col min="1475" max="1475" width="11.42578125" style="199" bestFit="1" customWidth="1"/>
    <col min="1476" max="1717" width="8.85546875" style="199"/>
    <col min="1718" max="1718" width="4.140625" style="199" customWidth="1"/>
    <col min="1719" max="1719" width="9.28515625" style="199" customWidth="1"/>
    <col min="1720" max="1720" width="39.7109375" style="199" customWidth="1"/>
    <col min="1721" max="1723" width="8.85546875" style="199"/>
    <col min="1724" max="1724" width="9.85546875" style="199" customWidth="1"/>
    <col min="1725" max="1725" width="11.42578125" style="199" bestFit="1" customWidth="1"/>
    <col min="1726" max="1726" width="10.85546875" style="199" customWidth="1"/>
    <col min="1727" max="1727" width="8.85546875" style="199"/>
    <col min="1728" max="1728" width="10.7109375" style="199" customWidth="1"/>
    <col min="1729" max="1729" width="10.42578125" style="199" bestFit="1" customWidth="1"/>
    <col min="1730" max="1730" width="10.28515625" style="199" customWidth="1"/>
    <col min="1731" max="1731" width="11.42578125" style="199" bestFit="1" customWidth="1"/>
    <col min="1732" max="1973" width="8.85546875" style="199"/>
    <col min="1974" max="1974" width="4.140625" style="199" customWidth="1"/>
    <col min="1975" max="1975" width="9.28515625" style="199" customWidth="1"/>
    <col min="1976" max="1976" width="39.7109375" style="199" customWidth="1"/>
    <col min="1977" max="1979" width="8.85546875" style="199"/>
    <col min="1980" max="1980" width="9.85546875" style="199" customWidth="1"/>
    <col min="1981" max="1981" width="11.42578125" style="199" bestFit="1" customWidth="1"/>
    <col min="1982" max="1982" width="10.85546875" style="199" customWidth="1"/>
    <col min="1983" max="1983" width="8.85546875" style="199"/>
    <col min="1984" max="1984" width="10.7109375" style="199" customWidth="1"/>
    <col min="1985" max="1985" width="10.42578125" style="199" bestFit="1" customWidth="1"/>
    <col min="1986" max="1986" width="10.28515625" style="199" customWidth="1"/>
    <col min="1987" max="1987" width="11.42578125" style="199" bestFit="1" customWidth="1"/>
    <col min="1988" max="2229" width="8.85546875" style="199"/>
    <col min="2230" max="2230" width="4.140625" style="199" customWidth="1"/>
    <col min="2231" max="2231" width="9.28515625" style="199" customWidth="1"/>
    <col min="2232" max="2232" width="39.7109375" style="199" customWidth="1"/>
    <col min="2233" max="2235" width="8.85546875" style="199"/>
    <col min="2236" max="2236" width="9.85546875" style="199" customWidth="1"/>
    <col min="2237" max="2237" width="11.42578125" style="199" bestFit="1" customWidth="1"/>
    <col min="2238" max="2238" width="10.85546875" style="199" customWidth="1"/>
    <col min="2239" max="2239" width="8.85546875" style="199"/>
    <col min="2240" max="2240" width="10.7109375" style="199" customWidth="1"/>
    <col min="2241" max="2241" width="10.42578125" style="199" bestFit="1" customWidth="1"/>
    <col min="2242" max="2242" width="10.28515625" style="199" customWidth="1"/>
    <col min="2243" max="2243" width="11.42578125" style="199" bestFit="1" customWidth="1"/>
    <col min="2244" max="2485" width="8.85546875" style="199"/>
    <col min="2486" max="2486" width="4.140625" style="199" customWidth="1"/>
    <col min="2487" max="2487" width="9.28515625" style="199" customWidth="1"/>
    <col min="2488" max="2488" width="39.7109375" style="199" customWidth="1"/>
    <col min="2489" max="2491" width="8.85546875" style="199"/>
    <col min="2492" max="2492" width="9.85546875" style="199" customWidth="1"/>
    <col min="2493" max="2493" width="11.42578125" style="199" bestFit="1" customWidth="1"/>
    <col min="2494" max="2494" width="10.85546875" style="199" customWidth="1"/>
    <col min="2495" max="2495" width="8.85546875" style="199"/>
    <col min="2496" max="2496" width="10.7109375" style="199" customWidth="1"/>
    <col min="2497" max="2497" width="10.42578125" style="199" bestFit="1" customWidth="1"/>
    <col min="2498" max="2498" width="10.28515625" style="199" customWidth="1"/>
    <col min="2499" max="2499" width="11.42578125" style="199" bestFit="1" customWidth="1"/>
    <col min="2500" max="2741" width="8.85546875" style="199"/>
    <col min="2742" max="2742" width="4.140625" style="199" customWidth="1"/>
    <col min="2743" max="2743" width="9.28515625" style="199" customWidth="1"/>
    <col min="2744" max="2744" width="39.7109375" style="199" customWidth="1"/>
    <col min="2745" max="2747" width="8.85546875" style="199"/>
    <col min="2748" max="2748" width="9.85546875" style="199" customWidth="1"/>
    <col min="2749" max="2749" width="11.42578125" style="199" bestFit="1" customWidth="1"/>
    <col min="2750" max="2750" width="10.85546875" style="199" customWidth="1"/>
    <col min="2751" max="2751" width="8.85546875" style="199"/>
    <col min="2752" max="2752" width="10.7109375" style="199" customWidth="1"/>
    <col min="2753" max="2753" width="10.42578125" style="199" bestFit="1" customWidth="1"/>
    <col min="2754" max="2754" width="10.28515625" style="199" customWidth="1"/>
    <col min="2755" max="2755" width="11.42578125" style="199" bestFit="1" customWidth="1"/>
    <col min="2756" max="2997" width="8.85546875" style="199"/>
    <col min="2998" max="2998" width="4.140625" style="199" customWidth="1"/>
    <col min="2999" max="2999" width="9.28515625" style="199" customWidth="1"/>
    <col min="3000" max="3000" width="39.7109375" style="199" customWidth="1"/>
    <col min="3001" max="3003" width="8.85546875" style="199"/>
    <col min="3004" max="3004" width="9.85546875" style="199" customWidth="1"/>
    <col min="3005" max="3005" width="11.42578125" style="199" bestFit="1" customWidth="1"/>
    <col min="3006" max="3006" width="10.85546875" style="199" customWidth="1"/>
    <col min="3007" max="3007" width="8.85546875" style="199"/>
    <col min="3008" max="3008" width="10.7109375" style="199" customWidth="1"/>
    <col min="3009" max="3009" width="10.42578125" style="199" bestFit="1" customWidth="1"/>
    <col min="3010" max="3010" width="10.28515625" style="199" customWidth="1"/>
    <col min="3011" max="3011" width="11.42578125" style="199" bestFit="1" customWidth="1"/>
    <col min="3012" max="3253" width="8.85546875" style="199"/>
    <col min="3254" max="3254" width="4.140625" style="199" customWidth="1"/>
    <col min="3255" max="3255" width="9.28515625" style="199" customWidth="1"/>
    <col min="3256" max="3256" width="39.7109375" style="199" customWidth="1"/>
    <col min="3257" max="3259" width="8.85546875" style="199"/>
    <col min="3260" max="3260" width="9.85546875" style="199" customWidth="1"/>
    <col min="3261" max="3261" width="11.42578125" style="199" bestFit="1" customWidth="1"/>
    <col min="3262" max="3262" width="10.85546875" style="199" customWidth="1"/>
    <col min="3263" max="3263" width="8.85546875" style="199"/>
    <col min="3264" max="3264" width="10.7109375" style="199" customWidth="1"/>
    <col min="3265" max="3265" width="10.42578125" style="199" bestFit="1" customWidth="1"/>
    <col min="3266" max="3266" width="10.28515625" style="199" customWidth="1"/>
    <col min="3267" max="3267" width="11.42578125" style="199" bestFit="1" customWidth="1"/>
    <col min="3268" max="3509" width="8.85546875" style="199"/>
    <col min="3510" max="3510" width="4.140625" style="199" customWidth="1"/>
    <col min="3511" max="3511" width="9.28515625" style="199" customWidth="1"/>
    <col min="3512" max="3512" width="39.7109375" style="199" customWidth="1"/>
    <col min="3513" max="3515" width="8.85546875" style="199"/>
    <col min="3516" max="3516" width="9.85546875" style="199" customWidth="1"/>
    <col min="3517" max="3517" width="11.42578125" style="199" bestFit="1" customWidth="1"/>
    <col min="3518" max="3518" width="10.85546875" style="199" customWidth="1"/>
    <col min="3519" max="3519" width="8.85546875" style="199"/>
    <col min="3520" max="3520" width="10.7109375" style="199" customWidth="1"/>
    <col min="3521" max="3521" width="10.42578125" style="199" bestFit="1" customWidth="1"/>
    <col min="3522" max="3522" width="10.28515625" style="199" customWidth="1"/>
    <col min="3523" max="3523" width="11.42578125" style="199" bestFit="1" customWidth="1"/>
    <col min="3524" max="3765" width="8.85546875" style="199"/>
    <col min="3766" max="3766" width="4.140625" style="199" customWidth="1"/>
    <col min="3767" max="3767" width="9.28515625" style="199" customWidth="1"/>
    <col min="3768" max="3768" width="39.7109375" style="199" customWidth="1"/>
    <col min="3769" max="3771" width="8.85546875" style="199"/>
    <col min="3772" max="3772" width="9.85546875" style="199" customWidth="1"/>
    <col min="3773" max="3773" width="11.42578125" style="199" bestFit="1" customWidth="1"/>
    <col min="3774" max="3774" width="10.85546875" style="199" customWidth="1"/>
    <col min="3775" max="3775" width="8.85546875" style="199"/>
    <col min="3776" max="3776" width="10.7109375" style="199" customWidth="1"/>
    <col min="3777" max="3777" width="10.42578125" style="199" bestFit="1" customWidth="1"/>
    <col min="3778" max="3778" width="10.28515625" style="199" customWidth="1"/>
    <col min="3779" max="3779" width="11.42578125" style="199" bestFit="1" customWidth="1"/>
    <col min="3780" max="4021" width="8.85546875" style="199"/>
    <col min="4022" max="4022" width="4.140625" style="199" customWidth="1"/>
    <col min="4023" max="4023" width="9.28515625" style="199" customWidth="1"/>
    <col min="4024" max="4024" width="39.7109375" style="199" customWidth="1"/>
    <col min="4025" max="4027" width="8.85546875" style="199"/>
    <col min="4028" max="4028" width="9.85546875" style="199" customWidth="1"/>
    <col min="4029" max="4029" width="11.42578125" style="199" bestFit="1" customWidth="1"/>
    <col min="4030" max="4030" width="10.85546875" style="199" customWidth="1"/>
    <col min="4031" max="4031" width="8.85546875" style="199"/>
    <col min="4032" max="4032" width="10.7109375" style="199" customWidth="1"/>
    <col min="4033" max="4033" width="10.42578125" style="199" bestFit="1" customWidth="1"/>
    <col min="4034" max="4034" width="10.28515625" style="199" customWidth="1"/>
    <col min="4035" max="4035" width="11.42578125" style="199" bestFit="1" customWidth="1"/>
    <col min="4036" max="4277" width="8.85546875" style="199"/>
    <col min="4278" max="4278" width="4.140625" style="199" customWidth="1"/>
    <col min="4279" max="4279" width="9.28515625" style="199" customWidth="1"/>
    <col min="4280" max="4280" width="39.7109375" style="199" customWidth="1"/>
    <col min="4281" max="4283" width="8.85546875" style="199"/>
    <col min="4284" max="4284" width="9.85546875" style="199" customWidth="1"/>
    <col min="4285" max="4285" width="11.42578125" style="199" bestFit="1" customWidth="1"/>
    <col min="4286" max="4286" width="10.85546875" style="199" customWidth="1"/>
    <col min="4287" max="4287" width="8.85546875" style="199"/>
    <col min="4288" max="4288" width="10.7109375" style="199" customWidth="1"/>
    <col min="4289" max="4289" width="10.42578125" style="199" bestFit="1" customWidth="1"/>
    <col min="4290" max="4290" width="10.28515625" style="199" customWidth="1"/>
    <col min="4291" max="4291" width="11.42578125" style="199" bestFit="1" customWidth="1"/>
    <col min="4292" max="4533" width="8.85546875" style="199"/>
    <col min="4534" max="4534" width="4.140625" style="199" customWidth="1"/>
    <col min="4535" max="4535" width="9.28515625" style="199" customWidth="1"/>
    <col min="4536" max="4536" width="39.7109375" style="199" customWidth="1"/>
    <col min="4537" max="4539" width="8.85546875" style="199"/>
    <col min="4540" max="4540" width="9.85546875" style="199" customWidth="1"/>
    <col min="4541" max="4541" width="11.42578125" style="199" bestFit="1" customWidth="1"/>
    <col min="4542" max="4542" width="10.85546875" style="199" customWidth="1"/>
    <col min="4543" max="4543" width="8.85546875" style="199"/>
    <col min="4544" max="4544" width="10.7109375" style="199" customWidth="1"/>
    <col min="4545" max="4545" width="10.42578125" style="199" bestFit="1" customWidth="1"/>
    <col min="4546" max="4546" width="10.28515625" style="199" customWidth="1"/>
    <col min="4547" max="4547" width="11.42578125" style="199" bestFit="1" customWidth="1"/>
    <col min="4548" max="4789" width="8.85546875" style="199"/>
    <col min="4790" max="4790" width="4.140625" style="199" customWidth="1"/>
    <col min="4791" max="4791" width="9.28515625" style="199" customWidth="1"/>
    <col min="4792" max="4792" width="39.7109375" style="199" customWidth="1"/>
    <col min="4793" max="4795" width="8.85546875" style="199"/>
    <col min="4796" max="4796" width="9.85546875" style="199" customWidth="1"/>
    <col min="4797" max="4797" width="11.42578125" style="199" bestFit="1" customWidth="1"/>
    <col min="4798" max="4798" width="10.85546875" style="199" customWidth="1"/>
    <col min="4799" max="4799" width="8.85546875" style="199"/>
    <col min="4800" max="4800" width="10.7109375" style="199" customWidth="1"/>
    <col min="4801" max="4801" width="10.42578125" style="199" bestFit="1" customWidth="1"/>
    <col min="4802" max="4802" width="10.28515625" style="199" customWidth="1"/>
    <col min="4803" max="4803" width="11.42578125" style="199" bestFit="1" customWidth="1"/>
    <col min="4804" max="5045" width="8.85546875" style="199"/>
    <col min="5046" max="5046" width="4.140625" style="199" customWidth="1"/>
    <col min="5047" max="5047" width="9.28515625" style="199" customWidth="1"/>
    <col min="5048" max="5048" width="39.7109375" style="199" customWidth="1"/>
    <col min="5049" max="5051" width="8.85546875" style="199"/>
    <col min="5052" max="5052" width="9.85546875" style="199" customWidth="1"/>
    <col min="5053" max="5053" width="11.42578125" style="199" bestFit="1" customWidth="1"/>
    <col min="5054" max="5054" width="10.85546875" style="199" customWidth="1"/>
    <col min="5055" max="5055" width="8.85546875" style="199"/>
    <col min="5056" max="5056" width="10.7109375" style="199" customWidth="1"/>
    <col min="5057" max="5057" width="10.42578125" style="199" bestFit="1" customWidth="1"/>
    <col min="5058" max="5058" width="10.28515625" style="199" customWidth="1"/>
    <col min="5059" max="5059" width="11.42578125" style="199" bestFit="1" customWidth="1"/>
    <col min="5060" max="5301" width="8.85546875" style="199"/>
    <col min="5302" max="5302" width="4.140625" style="199" customWidth="1"/>
    <col min="5303" max="5303" width="9.28515625" style="199" customWidth="1"/>
    <col min="5304" max="5304" width="39.7109375" style="199" customWidth="1"/>
    <col min="5305" max="5307" width="8.85546875" style="199"/>
    <col min="5308" max="5308" width="9.85546875" style="199" customWidth="1"/>
    <col min="5309" max="5309" width="11.42578125" style="199" bestFit="1" customWidth="1"/>
    <col min="5310" max="5310" width="10.85546875" style="199" customWidth="1"/>
    <col min="5311" max="5311" width="8.85546875" style="199"/>
    <col min="5312" max="5312" width="10.7109375" style="199" customWidth="1"/>
    <col min="5313" max="5313" width="10.42578125" style="199" bestFit="1" customWidth="1"/>
    <col min="5314" max="5314" width="10.28515625" style="199" customWidth="1"/>
    <col min="5315" max="5315" width="11.42578125" style="199" bestFit="1" customWidth="1"/>
    <col min="5316" max="5557" width="8.85546875" style="199"/>
    <col min="5558" max="5558" width="4.140625" style="199" customWidth="1"/>
    <col min="5559" max="5559" width="9.28515625" style="199" customWidth="1"/>
    <col min="5560" max="5560" width="39.7109375" style="199" customWidth="1"/>
    <col min="5561" max="5563" width="8.85546875" style="199"/>
    <col min="5564" max="5564" width="9.85546875" style="199" customWidth="1"/>
    <col min="5565" max="5565" width="11.42578125" style="199" bestFit="1" customWidth="1"/>
    <col min="5566" max="5566" width="10.85546875" style="199" customWidth="1"/>
    <col min="5567" max="5567" width="8.85546875" style="199"/>
    <col min="5568" max="5568" width="10.7109375" style="199" customWidth="1"/>
    <col min="5569" max="5569" width="10.42578125" style="199" bestFit="1" customWidth="1"/>
    <col min="5570" max="5570" width="10.28515625" style="199" customWidth="1"/>
    <col min="5571" max="5571" width="11.42578125" style="199" bestFit="1" customWidth="1"/>
    <col min="5572" max="5813" width="8.85546875" style="199"/>
    <col min="5814" max="5814" width="4.140625" style="199" customWidth="1"/>
    <col min="5815" max="5815" width="9.28515625" style="199" customWidth="1"/>
    <col min="5816" max="5816" width="39.7109375" style="199" customWidth="1"/>
    <col min="5817" max="5819" width="8.85546875" style="199"/>
    <col min="5820" max="5820" width="9.85546875" style="199" customWidth="1"/>
    <col min="5821" max="5821" width="11.42578125" style="199" bestFit="1" customWidth="1"/>
    <col min="5822" max="5822" width="10.85546875" style="199" customWidth="1"/>
    <col min="5823" max="5823" width="8.85546875" style="199"/>
    <col min="5824" max="5824" width="10.7109375" style="199" customWidth="1"/>
    <col min="5825" max="5825" width="10.42578125" style="199" bestFit="1" customWidth="1"/>
    <col min="5826" max="5826" width="10.28515625" style="199" customWidth="1"/>
    <col min="5827" max="5827" width="11.42578125" style="199" bestFit="1" customWidth="1"/>
    <col min="5828" max="6069" width="8.85546875" style="199"/>
    <col min="6070" max="6070" width="4.140625" style="199" customWidth="1"/>
    <col min="6071" max="6071" width="9.28515625" style="199" customWidth="1"/>
    <col min="6072" max="6072" width="39.7109375" style="199" customWidth="1"/>
    <col min="6073" max="6075" width="8.85546875" style="199"/>
    <col min="6076" max="6076" width="9.85546875" style="199" customWidth="1"/>
    <col min="6077" max="6077" width="11.42578125" style="199" bestFit="1" customWidth="1"/>
    <col min="6078" max="6078" width="10.85546875" style="199" customWidth="1"/>
    <col min="6079" max="6079" width="8.85546875" style="199"/>
    <col min="6080" max="6080" width="10.7109375" style="199" customWidth="1"/>
    <col min="6081" max="6081" width="10.42578125" style="199" bestFit="1" customWidth="1"/>
    <col min="6082" max="6082" width="10.28515625" style="199" customWidth="1"/>
    <col min="6083" max="6083" width="11.42578125" style="199" bestFit="1" customWidth="1"/>
    <col min="6084" max="6325" width="8.85546875" style="199"/>
    <col min="6326" max="6326" width="4.140625" style="199" customWidth="1"/>
    <col min="6327" max="6327" width="9.28515625" style="199" customWidth="1"/>
    <col min="6328" max="6328" width="39.7109375" style="199" customWidth="1"/>
    <col min="6329" max="6331" width="8.85546875" style="199"/>
    <col min="6332" max="6332" width="9.85546875" style="199" customWidth="1"/>
    <col min="6333" max="6333" width="11.42578125" style="199" bestFit="1" customWidth="1"/>
    <col min="6334" max="6334" width="10.85546875" style="199" customWidth="1"/>
    <col min="6335" max="6335" width="8.85546875" style="199"/>
    <col min="6336" max="6336" width="10.7109375" style="199" customWidth="1"/>
    <col min="6337" max="6337" width="10.42578125" style="199" bestFit="1" customWidth="1"/>
    <col min="6338" max="6338" width="10.28515625" style="199" customWidth="1"/>
    <col min="6339" max="6339" width="11.42578125" style="199" bestFit="1" customWidth="1"/>
    <col min="6340" max="6581" width="8.85546875" style="199"/>
    <col min="6582" max="6582" width="4.140625" style="199" customWidth="1"/>
    <col min="6583" max="6583" width="9.28515625" style="199" customWidth="1"/>
    <col min="6584" max="6584" width="39.7109375" style="199" customWidth="1"/>
    <col min="6585" max="6587" width="8.85546875" style="199"/>
    <col min="6588" max="6588" width="9.85546875" style="199" customWidth="1"/>
    <col min="6589" max="6589" width="11.42578125" style="199" bestFit="1" customWidth="1"/>
    <col min="6590" max="6590" width="10.85546875" style="199" customWidth="1"/>
    <col min="6591" max="6591" width="8.85546875" style="199"/>
    <col min="6592" max="6592" width="10.7109375" style="199" customWidth="1"/>
    <col min="6593" max="6593" width="10.42578125" style="199" bestFit="1" customWidth="1"/>
    <col min="6594" max="6594" width="10.28515625" style="199" customWidth="1"/>
    <col min="6595" max="6595" width="11.42578125" style="199" bestFit="1" customWidth="1"/>
    <col min="6596" max="6837" width="8.85546875" style="199"/>
    <col min="6838" max="6838" width="4.140625" style="199" customWidth="1"/>
    <col min="6839" max="6839" width="9.28515625" style="199" customWidth="1"/>
    <col min="6840" max="6840" width="39.7109375" style="199" customWidth="1"/>
    <col min="6841" max="6843" width="8.85546875" style="199"/>
    <col min="6844" max="6844" width="9.85546875" style="199" customWidth="1"/>
    <col min="6845" max="6845" width="11.42578125" style="199" bestFit="1" customWidth="1"/>
    <col min="6846" max="6846" width="10.85546875" style="199" customWidth="1"/>
    <col min="6847" max="6847" width="8.85546875" style="199"/>
    <col min="6848" max="6848" width="10.7109375" style="199" customWidth="1"/>
    <col min="6849" max="6849" width="10.42578125" style="199" bestFit="1" customWidth="1"/>
    <col min="6850" max="6850" width="10.28515625" style="199" customWidth="1"/>
    <col min="6851" max="6851" width="11.42578125" style="199" bestFit="1" customWidth="1"/>
    <col min="6852" max="7093" width="8.85546875" style="199"/>
    <col min="7094" max="7094" width="4.140625" style="199" customWidth="1"/>
    <col min="7095" max="7095" width="9.28515625" style="199" customWidth="1"/>
    <col min="7096" max="7096" width="39.7109375" style="199" customWidth="1"/>
    <col min="7097" max="7099" width="8.85546875" style="199"/>
    <col min="7100" max="7100" width="9.85546875" style="199" customWidth="1"/>
    <col min="7101" max="7101" width="11.42578125" style="199" bestFit="1" customWidth="1"/>
    <col min="7102" max="7102" width="10.85546875" style="199" customWidth="1"/>
    <col min="7103" max="7103" width="8.85546875" style="199"/>
    <col min="7104" max="7104" width="10.7109375" style="199" customWidth="1"/>
    <col min="7105" max="7105" width="10.42578125" style="199" bestFit="1" customWidth="1"/>
    <col min="7106" max="7106" width="10.28515625" style="199" customWidth="1"/>
    <col min="7107" max="7107" width="11.42578125" style="199" bestFit="1" customWidth="1"/>
    <col min="7108" max="7349" width="8.85546875" style="199"/>
    <col min="7350" max="7350" width="4.140625" style="199" customWidth="1"/>
    <col min="7351" max="7351" width="9.28515625" style="199" customWidth="1"/>
    <col min="7352" max="7352" width="39.7109375" style="199" customWidth="1"/>
    <col min="7353" max="7355" width="8.85546875" style="199"/>
    <col min="7356" max="7356" width="9.85546875" style="199" customWidth="1"/>
    <col min="7357" max="7357" width="11.42578125" style="199" bestFit="1" customWidth="1"/>
    <col min="7358" max="7358" width="10.85546875" style="199" customWidth="1"/>
    <col min="7359" max="7359" width="8.85546875" style="199"/>
    <col min="7360" max="7360" width="10.7109375" style="199" customWidth="1"/>
    <col min="7361" max="7361" width="10.42578125" style="199" bestFit="1" customWidth="1"/>
    <col min="7362" max="7362" width="10.28515625" style="199" customWidth="1"/>
    <col min="7363" max="7363" width="11.42578125" style="199" bestFit="1" customWidth="1"/>
    <col min="7364" max="7605" width="8.85546875" style="199"/>
    <col min="7606" max="7606" width="4.140625" style="199" customWidth="1"/>
    <col min="7607" max="7607" width="9.28515625" style="199" customWidth="1"/>
    <col min="7608" max="7608" width="39.7109375" style="199" customWidth="1"/>
    <col min="7609" max="7611" width="8.85546875" style="199"/>
    <col min="7612" max="7612" width="9.85546875" style="199" customWidth="1"/>
    <col min="7613" max="7613" width="11.42578125" style="199" bestFit="1" customWidth="1"/>
    <col min="7614" max="7614" width="10.85546875" style="199" customWidth="1"/>
    <col min="7615" max="7615" width="8.85546875" style="199"/>
    <col min="7616" max="7616" width="10.7109375" style="199" customWidth="1"/>
    <col min="7617" max="7617" width="10.42578125" style="199" bestFit="1" customWidth="1"/>
    <col min="7618" max="7618" width="10.28515625" style="199" customWidth="1"/>
    <col min="7619" max="7619" width="11.42578125" style="199" bestFit="1" customWidth="1"/>
    <col min="7620" max="7861" width="8.85546875" style="199"/>
    <col min="7862" max="7862" width="4.140625" style="199" customWidth="1"/>
    <col min="7863" max="7863" width="9.28515625" style="199" customWidth="1"/>
    <col min="7864" max="7864" width="39.7109375" style="199" customWidth="1"/>
    <col min="7865" max="7867" width="8.85546875" style="199"/>
    <col min="7868" max="7868" width="9.85546875" style="199" customWidth="1"/>
    <col min="7869" max="7869" width="11.42578125" style="199" bestFit="1" customWidth="1"/>
    <col min="7870" max="7870" width="10.85546875" style="199" customWidth="1"/>
    <col min="7871" max="7871" width="8.85546875" style="199"/>
    <col min="7872" max="7872" width="10.7109375" style="199" customWidth="1"/>
    <col min="7873" max="7873" width="10.42578125" style="199" bestFit="1" customWidth="1"/>
    <col min="7874" max="7874" width="10.28515625" style="199" customWidth="1"/>
    <col min="7875" max="7875" width="11.42578125" style="199" bestFit="1" customWidth="1"/>
    <col min="7876" max="8117" width="8.85546875" style="199"/>
    <col min="8118" max="8118" width="4.140625" style="199" customWidth="1"/>
    <col min="8119" max="8119" width="9.28515625" style="199" customWidth="1"/>
    <col min="8120" max="8120" width="39.7109375" style="199" customWidth="1"/>
    <col min="8121" max="8123" width="8.85546875" style="199"/>
    <col min="8124" max="8124" width="9.85546875" style="199" customWidth="1"/>
    <col min="8125" max="8125" width="11.42578125" style="199" bestFit="1" customWidth="1"/>
    <col min="8126" max="8126" width="10.85546875" style="199" customWidth="1"/>
    <col min="8127" max="8127" width="8.85546875" style="199"/>
    <col min="8128" max="8128" width="10.7109375" style="199" customWidth="1"/>
    <col min="8129" max="8129" width="10.42578125" style="199" bestFit="1" customWidth="1"/>
    <col min="8130" max="8130" width="10.28515625" style="199" customWidth="1"/>
    <col min="8131" max="8131" width="11.42578125" style="199" bestFit="1" customWidth="1"/>
    <col min="8132" max="8373" width="8.85546875" style="199"/>
    <col min="8374" max="8374" width="4.140625" style="199" customWidth="1"/>
    <col min="8375" max="8375" width="9.28515625" style="199" customWidth="1"/>
    <col min="8376" max="8376" width="39.7109375" style="199" customWidth="1"/>
    <col min="8377" max="8379" width="8.85546875" style="199"/>
    <col min="8380" max="8380" width="9.85546875" style="199" customWidth="1"/>
    <col min="8381" max="8381" width="11.42578125" style="199" bestFit="1" customWidth="1"/>
    <col min="8382" max="8382" width="10.85546875" style="199" customWidth="1"/>
    <col min="8383" max="8383" width="8.85546875" style="199"/>
    <col min="8384" max="8384" width="10.7109375" style="199" customWidth="1"/>
    <col min="8385" max="8385" width="10.42578125" style="199" bestFit="1" customWidth="1"/>
    <col min="8386" max="8386" width="10.28515625" style="199" customWidth="1"/>
    <col min="8387" max="8387" width="11.42578125" style="199" bestFit="1" customWidth="1"/>
    <col min="8388" max="8629" width="8.85546875" style="199"/>
    <col min="8630" max="8630" width="4.140625" style="199" customWidth="1"/>
    <col min="8631" max="8631" width="9.28515625" style="199" customWidth="1"/>
    <col min="8632" max="8632" width="39.7109375" style="199" customWidth="1"/>
    <col min="8633" max="8635" width="8.85546875" style="199"/>
    <col min="8636" max="8636" width="9.85546875" style="199" customWidth="1"/>
    <col min="8637" max="8637" width="11.42578125" style="199" bestFit="1" customWidth="1"/>
    <col min="8638" max="8638" width="10.85546875" style="199" customWidth="1"/>
    <col min="8639" max="8639" width="8.85546875" style="199"/>
    <col min="8640" max="8640" width="10.7109375" style="199" customWidth="1"/>
    <col min="8641" max="8641" width="10.42578125" style="199" bestFit="1" customWidth="1"/>
    <col min="8642" max="8642" width="10.28515625" style="199" customWidth="1"/>
    <col min="8643" max="8643" width="11.42578125" style="199" bestFit="1" customWidth="1"/>
    <col min="8644" max="8885" width="8.85546875" style="199"/>
    <col min="8886" max="8886" width="4.140625" style="199" customWidth="1"/>
    <col min="8887" max="8887" width="9.28515625" style="199" customWidth="1"/>
    <col min="8888" max="8888" width="39.7109375" style="199" customWidth="1"/>
    <col min="8889" max="8891" width="8.85546875" style="199"/>
    <col min="8892" max="8892" width="9.85546875" style="199" customWidth="1"/>
    <col min="8893" max="8893" width="11.42578125" style="199" bestFit="1" customWidth="1"/>
    <col min="8894" max="8894" width="10.85546875" style="199" customWidth="1"/>
    <col min="8895" max="8895" width="8.85546875" style="199"/>
    <col min="8896" max="8896" width="10.7109375" style="199" customWidth="1"/>
    <col min="8897" max="8897" width="10.42578125" style="199" bestFit="1" customWidth="1"/>
    <col min="8898" max="8898" width="10.28515625" style="199" customWidth="1"/>
    <col min="8899" max="8899" width="11.42578125" style="199" bestFit="1" customWidth="1"/>
    <col min="8900" max="9141" width="8.85546875" style="199"/>
    <col min="9142" max="9142" width="4.140625" style="199" customWidth="1"/>
    <col min="9143" max="9143" width="9.28515625" style="199" customWidth="1"/>
    <col min="9144" max="9144" width="39.7109375" style="199" customWidth="1"/>
    <col min="9145" max="9147" width="8.85546875" style="199"/>
    <col min="9148" max="9148" width="9.85546875" style="199" customWidth="1"/>
    <col min="9149" max="9149" width="11.42578125" style="199" bestFit="1" customWidth="1"/>
    <col min="9150" max="9150" width="10.85546875" style="199" customWidth="1"/>
    <col min="9151" max="9151" width="8.85546875" style="199"/>
    <col min="9152" max="9152" width="10.7109375" style="199" customWidth="1"/>
    <col min="9153" max="9153" width="10.42578125" style="199" bestFit="1" customWidth="1"/>
    <col min="9154" max="9154" width="10.28515625" style="199" customWidth="1"/>
    <col min="9155" max="9155" width="11.42578125" style="199" bestFit="1" customWidth="1"/>
    <col min="9156" max="9397" width="8.85546875" style="199"/>
    <col min="9398" max="9398" width="4.140625" style="199" customWidth="1"/>
    <col min="9399" max="9399" width="9.28515625" style="199" customWidth="1"/>
    <col min="9400" max="9400" width="39.7109375" style="199" customWidth="1"/>
    <col min="9401" max="9403" width="8.85546875" style="199"/>
    <col min="9404" max="9404" width="9.85546875" style="199" customWidth="1"/>
    <col min="9405" max="9405" width="11.42578125" style="199" bestFit="1" customWidth="1"/>
    <col min="9406" max="9406" width="10.85546875" style="199" customWidth="1"/>
    <col min="9407" max="9407" width="8.85546875" style="199"/>
    <col min="9408" max="9408" width="10.7109375" style="199" customWidth="1"/>
    <col min="9409" max="9409" width="10.42578125" style="199" bestFit="1" customWidth="1"/>
    <col min="9410" max="9410" width="10.28515625" style="199" customWidth="1"/>
    <col min="9411" max="9411" width="11.42578125" style="199" bestFit="1" customWidth="1"/>
    <col min="9412" max="9653" width="8.85546875" style="199"/>
    <col min="9654" max="9654" width="4.140625" style="199" customWidth="1"/>
    <col min="9655" max="9655" width="9.28515625" style="199" customWidth="1"/>
    <col min="9656" max="9656" width="39.7109375" style="199" customWidth="1"/>
    <col min="9657" max="9659" width="8.85546875" style="199"/>
    <col min="9660" max="9660" width="9.85546875" style="199" customWidth="1"/>
    <col min="9661" max="9661" width="11.42578125" style="199" bestFit="1" customWidth="1"/>
    <col min="9662" max="9662" width="10.85546875" style="199" customWidth="1"/>
    <col min="9663" max="9663" width="8.85546875" style="199"/>
    <col min="9664" max="9664" width="10.7109375" style="199" customWidth="1"/>
    <col min="9665" max="9665" width="10.42578125" style="199" bestFit="1" customWidth="1"/>
    <col min="9666" max="9666" width="10.28515625" style="199" customWidth="1"/>
    <col min="9667" max="9667" width="11.42578125" style="199" bestFit="1" customWidth="1"/>
    <col min="9668" max="9909" width="8.85546875" style="199"/>
    <col min="9910" max="9910" width="4.140625" style="199" customWidth="1"/>
    <col min="9911" max="9911" width="9.28515625" style="199" customWidth="1"/>
    <col min="9912" max="9912" width="39.7109375" style="199" customWidth="1"/>
    <col min="9913" max="9915" width="8.85546875" style="199"/>
    <col min="9916" max="9916" width="9.85546875" style="199" customWidth="1"/>
    <col min="9917" max="9917" width="11.42578125" style="199" bestFit="1" customWidth="1"/>
    <col min="9918" max="9918" width="10.85546875" style="199" customWidth="1"/>
    <col min="9919" max="9919" width="8.85546875" style="199"/>
    <col min="9920" max="9920" width="10.7109375" style="199" customWidth="1"/>
    <col min="9921" max="9921" width="10.42578125" style="199" bestFit="1" customWidth="1"/>
    <col min="9922" max="9922" width="10.28515625" style="199" customWidth="1"/>
    <col min="9923" max="9923" width="11.42578125" style="199" bestFit="1" customWidth="1"/>
    <col min="9924" max="10165" width="8.85546875" style="199"/>
    <col min="10166" max="10166" width="4.140625" style="199" customWidth="1"/>
    <col min="10167" max="10167" width="9.28515625" style="199" customWidth="1"/>
    <col min="10168" max="10168" width="39.7109375" style="199" customWidth="1"/>
    <col min="10169" max="10171" width="8.85546875" style="199"/>
    <col min="10172" max="10172" width="9.85546875" style="199" customWidth="1"/>
    <col min="10173" max="10173" width="11.42578125" style="199" bestFit="1" customWidth="1"/>
    <col min="10174" max="10174" width="10.85546875" style="199" customWidth="1"/>
    <col min="10175" max="10175" width="8.85546875" style="199"/>
    <col min="10176" max="10176" width="10.7109375" style="199" customWidth="1"/>
    <col min="10177" max="10177" width="10.42578125" style="199" bestFit="1" customWidth="1"/>
    <col min="10178" max="10178" width="10.28515625" style="199" customWidth="1"/>
    <col min="10179" max="10179" width="11.42578125" style="199" bestFit="1" customWidth="1"/>
    <col min="10180" max="10421" width="8.85546875" style="199"/>
    <col min="10422" max="10422" width="4.140625" style="199" customWidth="1"/>
    <col min="10423" max="10423" width="9.28515625" style="199" customWidth="1"/>
    <col min="10424" max="10424" width="39.7109375" style="199" customWidth="1"/>
    <col min="10425" max="10427" width="8.85546875" style="199"/>
    <col min="10428" max="10428" width="9.85546875" style="199" customWidth="1"/>
    <col min="10429" max="10429" width="11.42578125" style="199" bestFit="1" customWidth="1"/>
    <col min="10430" max="10430" width="10.85546875" style="199" customWidth="1"/>
    <col min="10431" max="10431" width="8.85546875" style="199"/>
    <col min="10432" max="10432" width="10.7109375" style="199" customWidth="1"/>
    <col min="10433" max="10433" width="10.42578125" style="199" bestFit="1" customWidth="1"/>
    <col min="10434" max="10434" width="10.28515625" style="199" customWidth="1"/>
    <col min="10435" max="10435" width="11.42578125" style="199" bestFit="1" customWidth="1"/>
    <col min="10436" max="10677" width="8.85546875" style="199"/>
    <col min="10678" max="10678" width="4.140625" style="199" customWidth="1"/>
    <col min="10679" max="10679" width="9.28515625" style="199" customWidth="1"/>
    <col min="10680" max="10680" width="39.7109375" style="199" customWidth="1"/>
    <col min="10681" max="10683" width="8.85546875" style="199"/>
    <col min="10684" max="10684" width="9.85546875" style="199" customWidth="1"/>
    <col min="10685" max="10685" width="11.42578125" style="199" bestFit="1" customWidth="1"/>
    <col min="10686" max="10686" width="10.85546875" style="199" customWidth="1"/>
    <col min="10687" max="10687" width="8.85546875" style="199"/>
    <col min="10688" max="10688" width="10.7109375" style="199" customWidth="1"/>
    <col min="10689" max="10689" width="10.42578125" style="199" bestFit="1" customWidth="1"/>
    <col min="10690" max="10690" width="10.28515625" style="199" customWidth="1"/>
    <col min="10691" max="10691" width="11.42578125" style="199" bestFit="1" customWidth="1"/>
    <col min="10692" max="10933" width="8.85546875" style="199"/>
    <col min="10934" max="10934" width="4.140625" style="199" customWidth="1"/>
    <col min="10935" max="10935" width="9.28515625" style="199" customWidth="1"/>
    <col min="10936" max="10936" width="39.7109375" style="199" customWidth="1"/>
    <col min="10937" max="10939" width="8.85546875" style="199"/>
    <col min="10940" max="10940" width="9.85546875" style="199" customWidth="1"/>
    <col min="10941" max="10941" width="11.42578125" style="199" bestFit="1" customWidth="1"/>
    <col min="10942" max="10942" width="10.85546875" style="199" customWidth="1"/>
    <col min="10943" max="10943" width="8.85546875" style="199"/>
    <col min="10944" max="10944" width="10.7109375" style="199" customWidth="1"/>
    <col min="10945" max="10945" width="10.42578125" style="199" bestFit="1" customWidth="1"/>
    <col min="10946" max="10946" width="10.28515625" style="199" customWidth="1"/>
    <col min="10947" max="10947" width="11.42578125" style="199" bestFit="1" customWidth="1"/>
    <col min="10948" max="11189" width="8.85546875" style="199"/>
    <col min="11190" max="11190" width="4.140625" style="199" customWidth="1"/>
    <col min="11191" max="11191" width="9.28515625" style="199" customWidth="1"/>
    <col min="11192" max="11192" width="39.7109375" style="199" customWidth="1"/>
    <col min="11193" max="11195" width="8.85546875" style="199"/>
    <col min="11196" max="11196" width="9.85546875" style="199" customWidth="1"/>
    <col min="11197" max="11197" width="11.42578125" style="199" bestFit="1" customWidth="1"/>
    <col min="11198" max="11198" width="10.85546875" style="199" customWidth="1"/>
    <col min="11199" max="11199" width="8.85546875" style="199"/>
    <col min="11200" max="11200" width="10.7109375" style="199" customWidth="1"/>
    <col min="11201" max="11201" width="10.42578125" style="199" bestFit="1" customWidth="1"/>
    <col min="11202" max="11202" width="10.28515625" style="199" customWidth="1"/>
    <col min="11203" max="11203" width="11.42578125" style="199" bestFit="1" customWidth="1"/>
    <col min="11204" max="11445" width="8.85546875" style="199"/>
    <col min="11446" max="11446" width="4.140625" style="199" customWidth="1"/>
    <col min="11447" max="11447" width="9.28515625" style="199" customWidth="1"/>
    <col min="11448" max="11448" width="39.7109375" style="199" customWidth="1"/>
    <col min="11449" max="11451" width="8.85546875" style="199"/>
    <col min="11452" max="11452" width="9.85546875" style="199" customWidth="1"/>
    <col min="11453" max="11453" width="11.42578125" style="199" bestFit="1" customWidth="1"/>
    <col min="11454" max="11454" width="10.85546875" style="199" customWidth="1"/>
    <col min="11455" max="11455" width="8.85546875" style="199"/>
    <col min="11456" max="11456" width="10.7109375" style="199" customWidth="1"/>
    <col min="11457" max="11457" width="10.42578125" style="199" bestFit="1" customWidth="1"/>
    <col min="11458" max="11458" width="10.28515625" style="199" customWidth="1"/>
    <col min="11459" max="11459" width="11.42578125" style="199" bestFit="1" customWidth="1"/>
    <col min="11460" max="11701" width="8.85546875" style="199"/>
    <col min="11702" max="11702" width="4.140625" style="199" customWidth="1"/>
    <col min="11703" max="11703" width="9.28515625" style="199" customWidth="1"/>
    <col min="11704" max="11704" width="39.7109375" style="199" customWidth="1"/>
    <col min="11705" max="11707" width="8.85546875" style="199"/>
    <col min="11708" max="11708" width="9.85546875" style="199" customWidth="1"/>
    <col min="11709" max="11709" width="11.42578125" style="199" bestFit="1" customWidth="1"/>
    <col min="11710" max="11710" width="10.85546875" style="199" customWidth="1"/>
    <col min="11711" max="11711" width="8.85546875" style="199"/>
    <col min="11712" max="11712" width="10.7109375" style="199" customWidth="1"/>
    <col min="11713" max="11713" width="10.42578125" style="199" bestFit="1" customWidth="1"/>
    <col min="11714" max="11714" width="10.28515625" style="199" customWidth="1"/>
    <col min="11715" max="11715" width="11.42578125" style="199" bestFit="1" customWidth="1"/>
    <col min="11716" max="11957" width="8.85546875" style="199"/>
    <col min="11958" max="11958" width="4.140625" style="199" customWidth="1"/>
    <col min="11959" max="11959" width="9.28515625" style="199" customWidth="1"/>
    <col min="11960" max="11960" width="39.7109375" style="199" customWidth="1"/>
    <col min="11961" max="11963" width="8.85546875" style="199"/>
    <col min="11964" max="11964" width="9.85546875" style="199" customWidth="1"/>
    <col min="11965" max="11965" width="11.42578125" style="199" bestFit="1" customWidth="1"/>
    <col min="11966" max="11966" width="10.85546875" style="199" customWidth="1"/>
    <col min="11967" max="11967" width="8.85546875" style="199"/>
    <col min="11968" max="11968" width="10.7109375" style="199" customWidth="1"/>
    <col min="11969" max="11969" width="10.42578125" style="199" bestFit="1" customWidth="1"/>
    <col min="11970" max="11970" width="10.28515625" style="199" customWidth="1"/>
    <col min="11971" max="11971" width="11.42578125" style="199" bestFit="1" customWidth="1"/>
    <col min="11972" max="12213" width="8.85546875" style="199"/>
    <col min="12214" max="12214" width="4.140625" style="199" customWidth="1"/>
    <col min="12215" max="12215" width="9.28515625" style="199" customWidth="1"/>
    <col min="12216" max="12216" width="39.7109375" style="199" customWidth="1"/>
    <col min="12217" max="12219" width="8.85546875" style="199"/>
    <col min="12220" max="12220" width="9.85546875" style="199" customWidth="1"/>
    <col min="12221" max="12221" width="11.42578125" style="199" bestFit="1" customWidth="1"/>
    <col min="12222" max="12222" width="10.85546875" style="199" customWidth="1"/>
    <col min="12223" max="12223" width="8.85546875" style="199"/>
    <col min="12224" max="12224" width="10.7109375" style="199" customWidth="1"/>
    <col min="12225" max="12225" width="10.42578125" style="199" bestFit="1" customWidth="1"/>
    <col min="12226" max="12226" width="10.28515625" style="199" customWidth="1"/>
    <col min="12227" max="12227" width="11.42578125" style="199" bestFit="1" customWidth="1"/>
    <col min="12228" max="12469" width="8.85546875" style="199"/>
    <col min="12470" max="12470" width="4.140625" style="199" customWidth="1"/>
    <col min="12471" max="12471" width="9.28515625" style="199" customWidth="1"/>
    <col min="12472" max="12472" width="39.7109375" style="199" customWidth="1"/>
    <col min="12473" max="12475" width="8.85546875" style="199"/>
    <col min="12476" max="12476" width="9.85546875" style="199" customWidth="1"/>
    <col min="12477" max="12477" width="11.42578125" style="199" bestFit="1" customWidth="1"/>
    <col min="12478" max="12478" width="10.85546875" style="199" customWidth="1"/>
    <col min="12479" max="12479" width="8.85546875" style="199"/>
    <col min="12480" max="12480" width="10.7109375" style="199" customWidth="1"/>
    <col min="12481" max="12481" width="10.42578125" style="199" bestFit="1" customWidth="1"/>
    <col min="12482" max="12482" width="10.28515625" style="199" customWidth="1"/>
    <col min="12483" max="12483" width="11.42578125" style="199" bestFit="1" customWidth="1"/>
    <col min="12484" max="12725" width="8.85546875" style="199"/>
    <col min="12726" max="12726" width="4.140625" style="199" customWidth="1"/>
    <col min="12727" max="12727" width="9.28515625" style="199" customWidth="1"/>
    <col min="12728" max="12728" width="39.7109375" style="199" customWidth="1"/>
    <col min="12729" max="12731" width="8.85546875" style="199"/>
    <col min="12732" max="12732" width="9.85546875" style="199" customWidth="1"/>
    <col min="12733" max="12733" width="11.42578125" style="199" bestFit="1" customWidth="1"/>
    <col min="12734" max="12734" width="10.85546875" style="199" customWidth="1"/>
    <col min="12735" max="12735" width="8.85546875" style="199"/>
    <col min="12736" max="12736" width="10.7109375" style="199" customWidth="1"/>
    <col min="12737" max="12737" width="10.42578125" style="199" bestFit="1" customWidth="1"/>
    <col min="12738" max="12738" width="10.28515625" style="199" customWidth="1"/>
    <col min="12739" max="12739" width="11.42578125" style="199" bestFit="1" customWidth="1"/>
    <col min="12740" max="12981" width="8.85546875" style="199"/>
    <col min="12982" max="12982" width="4.140625" style="199" customWidth="1"/>
    <col min="12983" max="12983" width="9.28515625" style="199" customWidth="1"/>
    <col min="12984" max="12984" width="39.7109375" style="199" customWidth="1"/>
    <col min="12985" max="12987" width="8.85546875" style="199"/>
    <col min="12988" max="12988" width="9.85546875" style="199" customWidth="1"/>
    <col min="12989" max="12989" width="11.42578125" style="199" bestFit="1" customWidth="1"/>
    <col min="12990" max="12990" width="10.85546875" style="199" customWidth="1"/>
    <col min="12991" max="12991" width="8.85546875" style="199"/>
    <col min="12992" max="12992" width="10.7109375" style="199" customWidth="1"/>
    <col min="12993" max="12993" width="10.42578125" style="199" bestFit="1" customWidth="1"/>
    <col min="12994" max="12994" width="10.28515625" style="199" customWidth="1"/>
    <col min="12995" max="12995" width="11.42578125" style="199" bestFit="1" customWidth="1"/>
    <col min="12996" max="13237" width="8.85546875" style="199"/>
    <col min="13238" max="13238" width="4.140625" style="199" customWidth="1"/>
    <col min="13239" max="13239" width="9.28515625" style="199" customWidth="1"/>
    <col min="13240" max="13240" width="39.7109375" style="199" customWidth="1"/>
    <col min="13241" max="13243" width="8.85546875" style="199"/>
    <col min="13244" max="13244" width="9.85546875" style="199" customWidth="1"/>
    <col min="13245" max="13245" width="11.42578125" style="199" bestFit="1" customWidth="1"/>
    <col min="13246" max="13246" width="10.85546875" style="199" customWidth="1"/>
    <col min="13247" max="13247" width="8.85546875" style="199"/>
    <col min="13248" max="13248" width="10.7109375" style="199" customWidth="1"/>
    <col min="13249" max="13249" width="10.42578125" style="199" bestFit="1" customWidth="1"/>
    <col min="13250" max="13250" width="10.28515625" style="199" customWidth="1"/>
    <col min="13251" max="13251" width="11.42578125" style="199" bestFit="1" customWidth="1"/>
    <col min="13252" max="13493" width="8.85546875" style="199"/>
    <col min="13494" max="13494" width="4.140625" style="199" customWidth="1"/>
    <col min="13495" max="13495" width="9.28515625" style="199" customWidth="1"/>
    <col min="13496" max="13496" width="39.7109375" style="199" customWidth="1"/>
    <col min="13497" max="13499" width="8.85546875" style="199"/>
    <col min="13500" max="13500" width="9.85546875" style="199" customWidth="1"/>
    <col min="13501" max="13501" width="11.42578125" style="199" bestFit="1" customWidth="1"/>
    <col min="13502" max="13502" width="10.85546875" style="199" customWidth="1"/>
    <col min="13503" max="13503" width="8.85546875" style="199"/>
    <col min="13504" max="13504" width="10.7109375" style="199" customWidth="1"/>
    <col min="13505" max="13505" width="10.42578125" style="199" bestFit="1" customWidth="1"/>
    <col min="13506" max="13506" width="10.28515625" style="199" customWidth="1"/>
    <col min="13507" max="13507" width="11.42578125" style="199" bestFit="1" customWidth="1"/>
    <col min="13508" max="13749" width="8.85546875" style="199"/>
    <col min="13750" max="13750" width="4.140625" style="199" customWidth="1"/>
    <col min="13751" max="13751" width="9.28515625" style="199" customWidth="1"/>
    <col min="13752" max="13752" width="39.7109375" style="199" customWidth="1"/>
    <col min="13753" max="13755" width="8.85546875" style="199"/>
    <col min="13756" max="13756" width="9.85546875" style="199" customWidth="1"/>
    <col min="13757" max="13757" width="11.42578125" style="199" bestFit="1" customWidth="1"/>
    <col min="13758" max="13758" width="10.85546875" style="199" customWidth="1"/>
    <col min="13759" max="13759" width="8.85546875" style="199"/>
    <col min="13760" max="13760" width="10.7109375" style="199" customWidth="1"/>
    <col min="13761" max="13761" width="10.42578125" style="199" bestFit="1" customWidth="1"/>
    <col min="13762" max="13762" width="10.28515625" style="199" customWidth="1"/>
    <col min="13763" max="13763" width="11.42578125" style="199" bestFit="1" customWidth="1"/>
    <col min="13764" max="14005" width="8.85546875" style="199"/>
    <col min="14006" max="14006" width="4.140625" style="199" customWidth="1"/>
    <col min="14007" max="14007" width="9.28515625" style="199" customWidth="1"/>
    <col min="14008" max="14008" width="39.7109375" style="199" customWidth="1"/>
    <col min="14009" max="14011" width="8.85546875" style="199"/>
    <col min="14012" max="14012" width="9.85546875" style="199" customWidth="1"/>
    <col min="14013" max="14013" width="11.42578125" style="199" bestFit="1" customWidth="1"/>
    <col min="14014" max="14014" width="10.85546875" style="199" customWidth="1"/>
    <col min="14015" max="14015" width="8.85546875" style="199"/>
    <col min="14016" max="14016" width="10.7109375" style="199" customWidth="1"/>
    <col min="14017" max="14017" width="10.42578125" style="199" bestFit="1" customWidth="1"/>
    <col min="14018" max="14018" width="10.28515625" style="199" customWidth="1"/>
    <col min="14019" max="14019" width="11.42578125" style="199" bestFit="1" customWidth="1"/>
    <col min="14020" max="14261" width="8.85546875" style="199"/>
    <col min="14262" max="14262" width="4.140625" style="199" customWidth="1"/>
    <col min="14263" max="14263" width="9.28515625" style="199" customWidth="1"/>
    <col min="14264" max="14264" width="39.7109375" style="199" customWidth="1"/>
    <col min="14265" max="14267" width="8.85546875" style="199"/>
    <col min="14268" max="14268" width="9.85546875" style="199" customWidth="1"/>
    <col min="14269" max="14269" width="11.42578125" style="199" bestFit="1" customWidth="1"/>
    <col min="14270" max="14270" width="10.85546875" style="199" customWidth="1"/>
    <col min="14271" max="14271" width="8.85546875" style="199"/>
    <col min="14272" max="14272" width="10.7109375" style="199" customWidth="1"/>
    <col min="14273" max="14273" width="10.42578125" style="199" bestFit="1" customWidth="1"/>
    <col min="14274" max="14274" width="10.28515625" style="199" customWidth="1"/>
    <col min="14275" max="14275" width="11.42578125" style="199" bestFit="1" customWidth="1"/>
    <col min="14276" max="14517" width="8.85546875" style="199"/>
    <col min="14518" max="14518" width="4.140625" style="199" customWidth="1"/>
    <col min="14519" max="14519" width="9.28515625" style="199" customWidth="1"/>
    <col min="14520" max="14520" width="39.7109375" style="199" customWidth="1"/>
    <col min="14521" max="14523" width="8.85546875" style="199"/>
    <col min="14524" max="14524" width="9.85546875" style="199" customWidth="1"/>
    <col min="14525" max="14525" width="11.42578125" style="199" bestFit="1" customWidth="1"/>
    <col min="14526" max="14526" width="10.85546875" style="199" customWidth="1"/>
    <col min="14527" max="14527" width="8.85546875" style="199"/>
    <col min="14528" max="14528" width="10.7109375" style="199" customWidth="1"/>
    <col min="14529" max="14529" width="10.42578125" style="199" bestFit="1" customWidth="1"/>
    <col min="14530" max="14530" width="10.28515625" style="199" customWidth="1"/>
    <col min="14531" max="14531" width="11.42578125" style="199" bestFit="1" customWidth="1"/>
    <col min="14532" max="14773" width="8.85546875" style="199"/>
    <col min="14774" max="14774" width="4.140625" style="199" customWidth="1"/>
    <col min="14775" max="14775" width="9.28515625" style="199" customWidth="1"/>
    <col min="14776" max="14776" width="39.7109375" style="199" customWidth="1"/>
    <col min="14777" max="14779" width="8.85546875" style="199"/>
    <col min="14780" max="14780" width="9.85546875" style="199" customWidth="1"/>
    <col min="14781" max="14781" width="11.42578125" style="199" bestFit="1" customWidth="1"/>
    <col min="14782" max="14782" width="10.85546875" style="199" customWidth="1"/>
    <col min="14783" max="14783" width="8.85546875" style="199"/>
    <col min="14784" max="14784" width="10.7109375" style="199" customWidth="1"/>
    <col min="14785" max="14785" width="10.42578125" style="199" bestFit="1" customWidth="1"/>
    <col min="14786" max="14786" width="10.28515625" style="199" customWidth="1"/>
    <col min="14787" max="14787" width="11.42578125" style="199" bestFit="1" customWidth="1"/>
    <col min="14788" max="15029" width="8.85546875" style="199"/>
    <col min="15030" max="15030" width="4.140625" style="199" customWidth="1"/>
    <col min="15031" max="15031" width="9.28515625" style="199" customWidth="1"/>
    <col min="15032" max="15032" width="39.7109375" style="199" customWidth="1"/>
    <col min="15033" max="15035" width="8.85546875" style="199"/>
    <col min="15036" max="15036" width="9.85546875" style="199" customWidth="1"/>
    <col min="15037" max="15037" width="11.42578125" style="199" bestFit="1" customWidth="1"/>
    <col min="15038" max="15038" width="10.85546875" style="199" customWidth="1"/>
    <col min="15039" max="15039" width="8.85546875" style="199"/>
    <col min="15040" max="15040" width="10.7109375" style="199" customWidth="1"/>
    <col min="15041" max="15041" width="10.42578125" style="199" bestFit="1" customWidth="1"/>
    <col min="15042" max="15042" width="10.28515625" style="199" customWidth="1"/>
    <col min="15043" max="15043" width="11.42578125" style="199" bestFit="1" customWidth="1"/>
    <col min="15044" max="15285" width="8.85546875" style="199"/>
    <col min="15286" max="15286" width="4.140625" style="199" customWidth="1"/>
    <col min="15287" max="15287" width="9.28515625" style="199" customWidth="1"/>
    <col min="15288" max="15288" width="39.7109375" style="199" customWidth="1"/>
    <col min="15289" max="15291" width="8.85546875" style="199"/>
    <col min="15292" max="15292" width="9.85546875" style="199" customWidth="1"/>
    <col min="15293" max="15293" width="11.42578125" style="199" bestFit="1" customWidth="1"/>
    <col min="15294" max="15294" width="10.85546875" style="199" customWidth="1"/>
    <col min="15295" max="15295" width="8.85546875" style="199"/>
    <col min="15296" max="15296" width="10.7109375" style="199" customWidth="1"/>
    <col min="15297" max="15297" width="10.42578125" style="199" bestFit="1" customWidth="1"/>
    <col min="15298" max="15298" width="10.28515625" style="199" customWidth="1"/>
    <col min="15299" max="15299" width="11.42578125" style="199" bestFit="1" customWidth="1"/>
    <col min="15300" max="15541" width="8.85546875" style="199"/>
    <col min="15542" max="15542" width="4.140625" style="199" customWidth="1"/>
    <col min="15543" max="15543" width="9.28515625" style="199" customWidth="1"/>
    <col min="15544" max="15544" width="39.7109375" style="199" customWidth="1"/>
    <col min="15545" max="15547" width="8.85546875" style="199"/>
    <col min="15548" max="15548" width="9.85546875" style="199" customWidth="1"/>
    <col min="15549" max="15549" width="11.42578125" style="199" bestFit="1" customWidth="1"/>
    <col min="15550" max="15550" width="10.85546875" style="199" customWidth="1"/>
    <col min="15551" max="15551" width="8.85546875" style="199"/>
    <col min="15552" max="15552" width="10.7109375" style="199" customWidth="1"/>
    <col min="15553" max="15553" width="10.42578125" style="199" bestFit="1" customWidth="1"/>
    <col min="15554" max="15554" width="10.28515625" style="199" customWidth="1"/>
    <col min="15555" max="15555" width="11.42578125" style="199" bestFit="1" customWidth="1"/>
    <col min="15556" max="15797" width="8.85546875" style="199"/>
    <col min="15798" max="15798" width="4.140625" style="199" customWidth="1"/>
    <col min="15799" max="15799" width="9.28515625" style="199" customWidth="1"/>
    <col min="15800" max="15800" width="39.7109375" style="199" customWidth="1"/>
    <col min="15801" max="15803" width="8.85546875" style="199"/>
    <col min="15804" max="15804" width="9.85546875" style="199" customWidth="1"/>
    <col min="15805" max="15805" width="11.42578125" style="199" bestFit="1" customWidth="1"/>
    <col min="15806" max="15806" width="10.85546875" style="199" customWidth="1"/>
    <col min="15807" max="15807" width="8.85546875" style="199"/>
    <col min="15808" max="15808" width="10.7109375" style="199" customWidth="1"/>
    <col min="15809" max="15809" width="10.42578125" style="199" bestFit="1" customWidth="1"/>
    <col min="15810" max="15810" width="10.28515625" style="199" customWidth="1"/>
    <col min="15811" max="15811" width="11.42578125" style="199" bestFit="1" customWidth="1"/>
    <col min="15812" max="16053" width="8.85546875" style="199"/>
    <col min="16054" max="16054" width="4.140625" style="199" customWidth="1"/>
    <col min="16055" max="16055" width="9.28515625" style="199" customWidth="1"/>
    <col min="16056" max="16056" width="39.7109375" style="199" customWidth="1"/>
    <col min="16057" max="16059" width="8.85546875" style="199"/>
    <col min="16060" max="16060" width="9.85546875" style="199" customWidth="1"/>
    <col min="16061" max="16061" width="11.42578125" style="199" bestFit="1" customWidth="1"/>
    <col min="16062" max="16062" width="10.85546875" style="199" customWidth="1"/>
    <col min="16063" max="16063" width="8.85546875" style="199"/>
    <col min="16064" max="16064" width="10.7109375" style="199" customWidth="1"/>
    <col min="16065" max="16065" width="10.42578125" style="199" bestFit="1" customWidth="1"/>
    <col min="16066" max="16066" width="10.28515625" style="199" customWidth="1"/>
    <col min="16067" max="16067" width="11.42578125" style="199" bestFit="1" customWidth="1"/>
    <col min="16068" max="16384" width="8.85546875" style="199"/>
  </cols>
  <sheetData>
    <row r="1" spans="1:13" ht="1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">
      <c r="A3" s="19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35.450000000000003" customHeight="1">
      <c r="A4" s="457" t="s">
        <v>166</v>
      </c>
      <c r="B4" s="459" t="s">
        <v>167</v>
      </c>
      <c r="C4" s="455" t="s">
        <v>168</v>
      </c>
      <c r="D4" s="453" t="s">
        <v>169</v>
      </c>
      <c r="E4" s="461"/>
      <c r="F4" s="454"/>
      <c r="G4" s="453" t="s">
        <v>170</v>
      </c>
      <c r="H4" s="454"/>
      <c r="I4" s="453" t="s">
        <v>171</v>
      </c>
      <c r="J4" s="454"/>
      <c r="K4" s="453" t="s">
        <v>172</v>
      </c>
      <c r="L4" s="454"/>
      <c r="M4" s="455" t="s">
        <v>173</v>
      </c>
    </row>
    <row r="5" spans="1:13" ht="60" customHeight="1">
      <c r="A5" s="458"/>
      <c r="B5" s="460"/>
      <c r="C5" s="456"/>
      <c r="D5" s="200" t="s">
        <v>174</v>
      </c>
      <c r="E5" s="200" t="s">
        <v>175</v>
      </c>
      <c r="F5" s="200" t="s">
        <v>60</v>
      </c>
      <c r="G5" s="200" t="s">
        <v>176</v>
      </c>
      <c r="H5" s="200" t="s">
        <v>60</v>
      </c>
      <c r="I5" s="200" t="s">
        <v>176</v>
      </c>
      <c r="J5" s="200" t="s">
        <v>60</v>
      </c>
      <c r="K5" s="200" t="s">
        <v>176</v>
      </c>
      <c r="L5" s="200" t="s">
        <v>60</v>
      </c>
      <c r="M5" s="456"/>
    </row>
    <row r="6" spans="1:13" ht="15">
      <c r="A6" s="201">
        <v>1</v>
      </c>
      <c r="B6" s="202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</row>
    <row r="7" spans="1:13" ht="15">
      <c r="A7" s="203"/>
      <c r="B7" s="202"/>
      <c r="C7" s="203" t="s">
        <v>177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5">
      <c r="A8" s="203">
        <v>1</v>
      </c>
      <c r="B8" s="202" t="s">
        <v>178</v>
      </c>
      <c r="C8" s="203" t="s">
        <v>179</v>
      </c>
      <c r="D8" s="203" t="s">
        <v>99</v>
      </c>
      <c r="E8" s="201"/>
      <c r="F8" s="201">
        <f>422+135+40.7+67.1+130</f>
        <v>794.80000000000007</v>
      </c>
      <c r="G8" s="201"/>
      <c r="H8" s="201"/>
      <c r="I8" s="201"/>
      <c r="J8" s="201"/>
      <c r="K8" s="201"/>
      <c r="L8" s="201"/>
      <c r="M8" s="201"/>
    </row>
    <row r="9" spans="1:13" ht="15">
      <c r="A9" s="203"/>
      <c r="B9" s="202"/>
      <c r="C9" s="201" t="s">
        <v>180</v>
      </c>
      <c r="D9" s="201" t="s">
        <v>99</v>
      </c>
      <c r="E9" s="201">
        <v>1</v>
      </c>
      <c r="F9" s="201">
        <f>E9*F8</f>
        <v>794.80000000000007</v>
      </c>
      <c r="G9" s="201"/>
      <c r="H9" s="201"/>
      <c r="I9" s="201"/>
      <c r="J9" s="201">
        <f t="shared" ref="J9" si="0">I9*F9</f>
        <v>0</v>
      </c>
      <c r="K9" s="201"/>
      <c r="L9" s="201"/>
      <c r="M9" s="201">
        <f t="shared" ref="M9:M13" si="1">L9+J9+H9</f>
        <v>0</v>
      </c>
    </row>
    <row r="10" spans="1:13" ht="15">
      <c r="A10" s="203"/>
      <c r="B10" s="202"/>
      <c r="C10" s="201" t="s">
        <v>36</v>
      </c>
      <c r="D10" s="201" t="s">
        <v>25</v>
      </c>
      <c r="E10" s="201">
        <v>4.5999999999999999E-3</v>
      </c>
      <c r="F10" s="201">
        <f>E10*F8</f>
        <v>3.6560800000000002</v>
      </c>
      <c r="G10" s="201"/>
      <c r="H10" s="201"/>
      <c r="I10" s="201"/>
      <c r="J10" s="201"/>
      <c r="K10" s="201"/>
      <c r="L10" s="204">
        <f t="shared" ref="L10" si="2">K10*F10</f>
        <v>0</v>
      </c>
      <c r="M10" s="204">
        <f t="shared" si="1"/>
        <v>0</v>
      </c>
    </row>
    <row r="11" spans="1:13" ht="15">
      <c r="A11" s="203"/>
      <c r="B11" s="202"/>
      <c r="C11" s="201" t="s">
        <v>181</v>
      </c>
      <c r="D11" s="201" t="s">
        <v>99</v>
      </c>
      <c r="E11" s="201">
        <v>1</v>
      </c>
      <c r="F11" s="201">
        <f>E11*F8</f>
        <v>794.80000000000007</v>
      </c>
      <c r="G11" s="204"/>
      <c r="H11" s="204">
        <f t="shared" ref="H11:H13" si="3">G11*F11</f>
        <v>0</v>
      </c>
      <c r="I11" s="201"/>
      <c r="J11" s="201"/>
      <c r="K11" s="201"/>
      <c r="L11" s="201"/>
      <c r="M11" s="204">
        <f t="shared" si="1"/>
        <v>0</v>
      </c>
    </row>
    <row r="12" spans="1:13" ht="15">
      <c r="A12" s="203"/>
      <c r="B12" s="202" t="s">
        <v>182</v>
      </c>
      <c r="C12" s="201" t="s">
        <v>183</v>
      </c>
      <c r="D12" s="201" t="s">
        <v>19</v>
      </c>
      <c r="E12" s="201">
        <v>1</v>
      </c>
      <c r="F12" s="201">
        <f>310+51+11</f>
        <v>372</v>
      </c>
      <c r="G12" s="204"/>
      <c r="H12" s="204">
        <f t="shared" si="3"/>
        <v>0</v>
      </c>
      <c r="I12" s="201"/>
      <c r="J12" s="201"/>
      <c r="K12" s="201"/>
      <c r="L12" s="201"/>
      <c r="M12" s="204">
        <f t="shared" si="1"/>
        <v>0</v>
      </c>
    </row>
    <row r="13" spans="1:13" ht="15">
      <c r="A13" s="203"/>
      <c r="B13" s="202"/>
      <c r="C13" s="201" t="s">
        <v>21</v>
      </c>
      <c r="D13" s="201" t="s">
        <v>25</v>
      </c>
      <c r="E13" s="201">
        <v>0.20799999999999999</v>
      </c>
      <c r="F13" s="201">
        <f>E13*F8</f>
        <v>165.3184</v>
      </c>
      <c r="G13" s="201"/>
      <c r="H13" s="204">
        <f t="shared" si="3"/>
        <v>0</v>
      </c>
      <c r="I13" s="201"/>
      <c r="J13" s="201"/>
      <c r="K13" s="201"/>
      <c r="L13" s="201"/>
      <c r="M13" s="204">
        <f t="shared" si="1"/>
        <v>0</v>
      </c>
    </row>
    <row r="14" spans="1:13" ht="15">
      <c r="A14" s="203">
        <v>2</v>
      </c>
      <c r="B14" s="202" t="s">
        <v>184</v>
      </c>
      <c r="C14" s="203" t="s">
        <v>185</v>
      </c>
      <c r="D14" s="203" t="s">
        <v>99</v>
      </c>
      <c r="E14" s="201"/>
      <c r="F14" s="201">
        <f>354+37+67.1</f>
        <v>458.1</v>
      </c>
      <c r="G14" s="201"/>
      <c r="H14" s="201"/>
      <c r="I14" s="201"/>
      <c r="J14" s="201"/>
      <c r="K14" s="201"/>
      <c r="L14" s="201"/>
      <c r="M14" s="201"/>
    </row>
    <row r="15" spans="1:13" ht="15">
      <c r="A15" s="203"/>
      <c r="B15" s="202"/>
      <c r="C15" s="201" t="s">
        <v>180</v>
      </c>
      <c r="D15" s="201" t="s">
        <v>99</v>
      </c>
      <c r="E15" s="201">
        <v>1</v>
      </c>
      <c r="F15" s="201">
        <f>E15*F14</f>
        <v>458.1</v>
      </c>
      <c r="G15" s="201"/>
      <c r="H15" s="201"/>
      <c r="I15" s="201"/>
      <c r="J15" s="201">
        <f t="shared" ref="J15" si="4">I15*F15</f>
        <v>0</v>
      </c>
      <c r="K15" s="201"/>
      <c r="L15" s="201"/>
      <c r="M15" s="201">
        <f t="shared" ref="M15:M18" si="5">L15+J15+H15</f>
        <v>0</v>
      </c>
    </row>
    <row r="16" spans="1:13" ht="15">
      <c r="A16" s="203"/>
      <c r="B16" s="202"/>
      <c r="C16" s="201" t="s">
        <v>36</v>
      </c>
      <c r="D16" s="201" t="s">
        <v>25</v>
      </c>
      <c r="E16" s="201">
        <v>2.0999999999999999E-3</v>
      </c>
      <c r="F16" s="201">
        <f>E16*F14</f>
        <v>0.96201000000000003</v>
      </c>
      <c r="G16" s="201"/>
      <c r="H16" s="201"/>
      <c r="I16" s="201"/>
      <c r="J16" s="201"/>
      <c r="K16" s="201"/>
      <c r="L16" s="204">
        <f t="shared" ref="L16" si="6">K16*F16</f>
        <v>0</v>
      </c>
      <c r="M16" s="204">
        <f t="shared" si="5"/>
        <v>0</v>
      </c>
    </row>
    <row r="17" spans="1:13" ht="15">
      <c r="A17" s="203"/>
      <c r="B17" s="202"/>
      <c r="C17" s="201" t="s">
        <v>186</v>
      </c>
      <c r="D17" s="201" t="s">
        <v>99</v>
      </c>
      <c r="E17" s="201">
        <v>1</v>
      </c>
      <c r="F17" s="201">
        <f>E17*F14</f>
        <v>458.1</v>
      </c>
      <c r="G17" s="201"/>
      <c r="H17" s="201">
        <f t="shared" ref="H17:H18" si="7">G17*F17</f>
        <v>0</v>
      </c>
      <c r="I17" s="201"/>
      <c r="J17" s="201"/>
      <c r="K17" s="201"/>
      <c r="L17" s="201"/>
      <c r="M17" s="201">
        <f t="shared" si="5"/>
        <v>0</v>
      </c>
    </row>
    <row r="18" spans="1:13" ht="15">
      <c r="A18" s="203"/>
      <c r="B18" s="202"/>
      <c r="C18" s="201" t="s">
        <v>21</v>
      </c>
      <c r="D18" s="201" t="s">
        <v>25</v>
      </c>
      <c r="E18" s="201">
        <v>0.156</v>
      </c>
      <c r="F18" s="201">
        <f>E18*F14</f>
        <v>71.4636</v>
      </c>
      <c r="G18" s="201"/>
      <c r="H18" s="204">
        <f t="shared" si="7"/>
        <v>0</v>
      </c>
      <c r="I18" s="201"/>
      <c r="J18" s="201"/>
      <c r="K18" s="201"/>
      <c r="L18" s="201"/>
      <c r="M18" s="204">
        <f t="shared" si="5"/>
        <v>0</v>
      </c>
    </row>
    <row r="19" spans="1:13" ht="15">
      <c r="A19" s="203">
        <v>3</v>
      </c>
      <c r="B19" s="202" t="s">
        <v>178</v>
      </c>
      <c r="C19" s="203" t="s">
        <v>187</v>
      </c>
      <c r="D19" s="203" t="s">
        <v>99</v>
      </c>
      <c r="E19" s="201"/>
      <c r="F19" s="201">
        <f>227+65+60</f>
        <v>352</v>
      </c>
      <c r="G19" s="201"/>
      <c r="H19" s="201"/>
      <c r="I19" s="201"/>
      <c r="J19" s="201"/>
      <c r="K19" s="201"/>
      <c r="L19" s="201"/>
      <c r="M19" s="201"/>
    </row>
    <row r="20" spans="1:13" ht="15">
      <c r="A20" s="203"/>
      <c r="B20" s="202"/>
      <c r="C20" s="201" t="s">
        <v>180</v>
      </c>
      <c r="D20" s="201" t="s">
        <v>99</v>
      </c>
      <c r="E20" s="201">
        <v>1</v>
      </c>
      <c r="F20" s="201">
        <f>E20*F19</f>
        <v>352</v>
      </c>
      <c r="G20" s="201"/>
      <c r="H20" s="201"/>
      <c r="I20" s="201"/>
      <c r="J20" s="201">
        <f t="shared" ref="J20" si="8">I20*F20</f>
        <v>0</v>
      </c>
      <c r="K20" s="201"/>
      <c r="L20" s="201"/>
      <c r="M20" s="201">
        <f t="shared" ref="M20:M24" si="9">L20+J20+H20</f>
        <v>0</v>
      </c>
    </row>
    <row r="21" spans="1:13" ht="15">
      <c r="A21" s="203"/>
      <c r="B21" s="202"/>
      <c r="C21" s="201" t="s">
        <v>36</v>
      </c>
      <c r="D21" s="201" t="s">
        <v>25</v>
      </c>
      <c r="E21" s="201">
        <v>4.5999999999999999E-3</v>
      </c>
      <c r="F21" s="201">
        <f>E21*F19</f>
        <v>1.6192</v>
      </c>
      <c r="G21" s="201"/>
      <c r="H21" s="201"/>
      <c r="I21" s="201"/>
      <c r="J21" s="201"/>
      <c r="K21" s="201"/>
      <c r="L21" s="204">
        <f t="shared" ref="L21" si="10">K21*F21</f>
        <v>0</v>
      </c>
      <c r="M21" s="204">
        <f t="shared" si="9"/>
        <v>0</v>
      </c>
    </row>
    <row r="22" spans="1:13" ht="15">
      <c r="A22" s="203"/>
      <c r="B22" s="202"/>
      <c r="C22" s="201" t="s">
        <v>188</v>
      </c>
      <c r="D22" s="201" t="s">
        <v>99</v>
      </c>
      <c r="E22" s="201">
        <v>1</v>
      </c>
      <c r="F22" s="201">
        <f>E22*F19</f>
        <v>352</v>
      </c>
      <c r="G22" s="204"/>
      <c r="H22" s="204">
        <f t="shared" ref="H22:H24" si="11">G22*F22</f>
        <v>0</v>
      </c>
      <c r="I22" s="201"/>
      <c r="J22" s="201"/>
      <c r="K22" s="201"/>
      <c r="L22" s="201"/>
      <c r="M22" s="204">
        <f t="shared" si="9"/>
        <v>0</v>
      </c>
    </row>
    <row r="23" spans="1:13" ht="15">
      <c r="A23" s="203"/>
      <c r="B23" s="202" t="s">
        <v>189</v>
      </c>
      <c r="C23" s="201" t="s">
        <v>190</v>
      </c>
      <c r="D23" s="201" t="s">
        <v>19</v>
      </c>
      <c r="E23" s="201">
        <v>1</v>
      </c>
      <c r="F23" s="201">
        <v>172</v>
      </c>
      <c r="G23" s="204"/>
      <c r="H23" s="204">
        <f t="shared" si="11"/>
        <v>0</v>
      </c>
      <c r="I23" s="201"/>
      <c r="J23" s="201"/>
      <c r="K23" s="201"/>
      <c r="L23" s="201"/>
      <c r="M23" s="204">
        <f t="shared" si="9"/>
        <v>0</v>
      </c>
    </row>
    <row r="24" spans="1:13" ht="15">
      <c r="A24" s="203"/>
      <c r="B24" s="202"/>
      <c r="C24" s="201" t="s">
        <v>21</v>
      </c>
      <c r="D24" s="201" t="s">
        <v>25</v>
      </c>
      <c r="E24" s="201">
        <v>0.20799999999999999</v>
      </c>
      <c r="F24" s="201">
        <f>E24*F19</f>
        <v>73.215999999999994</v>
      </c>
      <c r="G24" s="201"/>
      <c r="H24" s="204">
        <f t="shared" si="11"/>
        <v>0</v>
      </c>
      <c r="I24" s="201"/>
      <c r="J24" s="201"/>
      <c r="K24" s="201"/>
      <c r="L24" s="201"/>
      <c r="M24" s="204">
        <f t="shared" si="9"/>
        <v>0</v>
      </c>
    </row>
    <row r="25" spans="1:13" ht="15">
      <c r="A25" s="203">
        <v>4</v>
      </c>
      <c r="B25" s="202" t="s">
        <v>178</v>
      </c>
      <c r="C25" s="203" t="s">
        <v>191</v>
      </c>
      <c r="D25" s="203" t="s">
        <v>99</v>
      </c>
      <c r="E25" s="201"/>
      <c r="F25" s="201">
        <v>43</v>
      </c>
      <c r="G25" s="201"/>
      <c r="H25" s="201"/>
      <c r="I25" s="201"/>
      <c r="J25" s="201"/>
      <c r="K25" s="201"/>
      <c r="L25" s="201"/>
      <c r="M25" s="201"/>
    </row>
    <row r="26" spans="1:13" ht="15">
      <c r="A26" s="203"/>
      <c r="B26" s="202"/>
      <c r="C26" s="201" t="s">
        <v>180</v>
      </c>
      <c r="D26" s="201" t="s">
        <v>99</v>
      </c>
      <c r="E26" s="201">
        <v>1</v>
      </c>
      <c r="F26" s="201">
        <f>E26*F25</f>
        <v>43</v>
      </c>
      <c r="G26" s="201"/>
      <c r="H26" s="201"/>
      <c r="I26" s="201"/>
      <c r="J26" s="201">
        <f t="shared" ref="J26" si="12">I26*F26</f>
        <v>0</v>
      </c>
      <c r="K26" s="201"/>
      <c r="L26" s="201"/>
      <c r="M26" s="201">
        <f t="shared" ref="M26:M29" si="13">L26+J26+H26</f>
        <v>0</v>
      </c>
    </row>
    <row r="27" spans="1:13" ht="15">
      <c r="A27" s="203"/>
      <c r="B27" s="202"/>
      <c r="C27" s="201" t="s">
        <v>36</v>
      </c>
      <c r="D27" s="201" t="s">
        <v>25</v>
      </c>
      <c r="E27" s="201">
        <v>4.5999999999999999E-3</v>
      </c>
      <c r="F27" s="201">
        <f>E27*F25</f>
        <v>0.1978</v>
      </c>
      <c r="G27" s="201"/>
      <c r="H27" s="201"/>
      <c r="I27" s="201"/>
      <c r="J27" s="201"/>
      <c r="K27" s="201"/>
      <c r="L27" s="204">
        <f t="shared" ref="L27" si="14">K27*F27</f>
        <v>0</v>
      </c>
      <c r="M27" s="204">
        <f t="shared" si="13"/>
        <v>0</v>
      </c>
    </row>
    <row r="28" spans="1:13" ht="15">
      <c r="A28" s="203"/>
      <c r="B28" s="202"/>
      <c r="C28" s="201" t="s">
        <v>192</v>
      </c>
      <c r="D28" s="201" t="s">
        <v>99</v>
      </c>
      <c r="E28" s="201">
        <v>1</v>
      </c>
      <c r="F28" s="201">
        <f>E28*F25</f>
        <v>43</v>
      </c>
      <c r="G28" s="204"/>
      <c r="H28" s="204">
        <f t="shared" ref="H28:H29" si="15">G28*F28</f>
        <v>0</v>
      </c>
      <c r="I28" s="201"/>
      <c r="J28" s="201"/>
      <c r="K28" s="201"/>
      <c r="L28" s="201"/>
      <c r="M28" s="204">
        <f t="shared" si="13"/>
        <v>0</v>
      </c>
    </row>
    <row r="29" spans="1:13" ht="15">
      <c r="A29" s="203"/>
      <c r="B29" s="202"/>
      <c r="C29" s="201" t="s">
        <v>21</v>
      </c>
      <c r="D29" s="201" t="s">
        <v>25</v>
      </c>
      <c r="E29" s="201">
        <v>0.20799999999999999</v>
      </c>
      <c r="F29" s="201">
        <f>E29*F25</f>
        <v>8.9439999999999991</v>
      </c>
      <c r="G29" s="201"/>
      <c r="H29" s="204">
        <f t="shared" si="15"/>
        <v>0</v>
      </c>
      <c r="I29" s="201"/>
      <c r="J29" s="201"/>
      <c r="K29" s="201"/>
      <c r="L29" s="201"/>
      <c r="M29" s="204">
        <f t="shared" si="13"/>
        <v>0</v>
      </c>
    </row>
    <row r="30" spans="1:13" ht="15">
      <c r="A30" s="203">
        <v>5</v>
      </c>
      <c r="B30" s="202" t="s">
        <v>193</v>
      </c>
      <c r="C30" s="203" t="s">
        <v>194</v>
      </c>
      <c r="D30" s="203" t="s">
        <v>99</v>
      </c>
      <c r="E30" s="201"/>
      <c r="F30" s="201">
        <f>57+30</f>
        <v>87</v>
      </c>
      <c r="G30" s="201"/>
      <c r="H30" s="201"/>
      <c r="I30" s="201"/>
      <c r="J30" s="201"/>
      <c r="K30" s="201"/>
      <c r="L30" s="201"/>
      <c r="M30" s="201"/>
    </row>
    <row r="31" spans="1:13" ht="15">
      <c r="A31" s="203"/>
      <c r="B31" s="202"/>
      <c r="C31" s="201" t="s">
        <v>180</v>
      </c>
      <c r="D31" s="201" t="s">
        <v>99</v>
      </c>
      <c r="E31" s="201">
        <v>1</v>
      </c>
      <c r="F31" s="201">
        <f>E31*F30</f>
        <v>87</v>
      </c>
      <c r="G31" s="201"/>
      <c r="H31" s="201"/>
      <c r="I31" s="201"/>
      <c r="J31" s="201">
        <f t="shared" ref="J31" si="16">I31*F31</f>
        <v>0</v>
      </c>
      <c r="K31" s="201"/>
      <c r="L31" s="201"/>
      <c r="M31" s="201">
        <f t="shared" ref="M31:M34" si="17">L31+J31+H31</f>
        <v>0</v>
      </c>
    </row>
    <row r="32" spans="1:13" ht="15">
      <c r="A32" s="203"/>
      <c r="B32" s="202"/>
      <c r="C32" s="201" t="s">
        <v>36</v>
      </c>
      <c r="D32" s="201" t="s">
        <v>25</v>
      </c>
      <c r="E32" s="201">
        <v>0.05</v>
      </c>
      <c r="F32" s="201">
        <f>E32*F30</f>
        <v>4.3500000000000005</v>
      </c>
      <c r="G32" s="201"/>
      <c r="H32" s="201"/>
      <c r="I32" s="201"/>
      <c r="J32" s="201"/>
      <c r="K32" s="201"/>
      <c r="L32" s="204">
        <f t="shared" ref="L32" si="18">K32*F32</f>
        <v>0</v>
      </c>
      <c r="M32" s="204">
        <f t="shared" si="17"/>
        <v>0</v>
      </c>
    </row>
    <row r="33" spans="1:13" ht="15">
      <c r="A33" s="203"/>
      <c r="B33" s="202"/>
      <c r="C33" s="201" t="s">
        <v>194</v>
      </c>
      <c r="D33" s="201" t="s">
        <v>99</v>
      </c>
      <c r="E33" s="201">
        <v>1</v>
      </c>
      <c r="F33" s="201">
        <f>E33*F30</f>
        <v>87</v>
      </c>
      <c r="G33" s="204"/>
      <c r="H33" s="204">
        <f t="shared" ref="H33:H34" si="19">G33*F33</f>
        <v>0</v>
      </c>
      <c r="I33" s="201"/>
      <c r="J33" s="201"/>
      <c r="K33" s="201"/>
      <c r="L33" s="201"/>
      <c r="M33" s="204">
        <f t="shared" si="17"/>
        <v>0</v>
      </c>
    </row>
    <row r="34" spans="1:13" ht="15">
      <c r="A34" s="203"/>
      <c r="B34" s="202"/>
      <c r="C34" s="201" t="s">
        <v>21</v>
      </c>
      <c r="D34" s="201" t="s">
        <v>25</v>
      </c>
      <c r="E34" s="201">
        <v>4.7800000000000002E-2</v>
      </c>
      <c r="F34" s="201">
        <f>E34*F30</f>
        <v>4.1585999999999999</v>
      </c>
      <c r="G34" s="201"/>
      <c r="H34" s="204">
        <f t="shared" si="19"/>
        <v>0</v>
      </c>
      <c r="I34" s="201"/>
      <c r="J34" s="201"/>
      <c r="K34" s="201"/>
      <c r="L34" s="201"/>
      <c r="M34" s="204">
        <f t="shared" si="17"/>
        <v>0</v>
      </c>
    </row>
    <row r="35" spans="1:13" ht="15">
      <c r="A35" s="203">
        <v>6</v>
      </c>
      <c r="B35" s="202" t="s">
        <v>195</v>
      </c>
      <c r="C35" s="203" t="s">
        <v>196</v>
      </c>
      <c r="D35" s="203" t="s">
        <v>19</v>
      </c>
      <c r="E35" s="201"/>
      <c r="F35" s="201">
        <f>SUM(F38:F63)</f>
        <v>1584</v>
      </c>
      <c r="G35" s="201"/>
      <c r="H35" s="201"/>
      <c r="I35" s="201"/>
      <c r="J35" s="201"/>
      <c r="K35" s="201"/>
      <c r="L35" s="201"/>
      <c r="M35" s="201"/>
    </row>
    <row r="36" spans="1:13" ht="15">
      <c r="A36" s="203"/>
      <c r="B36" s="202"/>
      <c r="C36" s="201" t="s">
        <v>180</v>
      </c>
      <c r="D36" s="201" t="s">
        <v>19</v>
      </c>
      <c r="E36" s="201">
        <v>1</v>
      </c>
      <c r="F36" s="201">
        <f>E36*F35</f>
        <v>1584</v>
      </c>
      <c r="G36" s="201"/>
      <c r="H36" s="201"/>
      <c r="I36" s="201"/>
      <c r="J36" s="201">
        <f t="shared" ref="J36" si="20">I36*F36</f>
        <v>0</v>
      </c>
      <c r="K36" s="201"/>
      <c r="L36" s="201"/>
      <c r="M36" s="201">
        <f t="shared" ref="M36:M64" si="21">L36+J36+H36</f>
        <v>0</v>
      </c>
    </row>
    <row r="37" spans="1:13" ht="15">
      <c r="A37" s="203"/>
      <c r="B37" s="202"/>
      <c r="C37" s="201" t="s">
        <v>36</v>
      </c>
      <c r="D37" s="201" t="s">
        <v>25</v>
      </c>
      <c r="E37" s="201">
        <v>0.30199999999999999</v>
      </c>
      <c r="F37" s="201">
        <f>E37*F35</f>
        <v>478.36799999999999</v>
      </c>
      <c r="G37" s="201"/>
      <c r="H37" s="201"/>
      <c r="I37" s="201"/>
      <c r="J37" s="201"/>
      <c r="K37" s="201"/>
      <c r="L37" s="204">
        <f t="shared" ref="L37" si="22">K37*F37</f>
        <v>0</v>
      </c>
      <c r="M37" s="204">
        <f t="shared" si="21"/>
        <v>0</v>
      </c>
    </row>
    <row r="38" spans="1:13" ht="15">
      <c r="A38" s="203"/>
      <c r="B38" s="202" t="s">
        <v>197</v>
      </c>
      <c r="C38" s="201" t="s">
        <v>198</v>
      </c>
      <c r="D38" s="201" t="s">
        <v>19</v>
      </c>
      <c r="E38" s="201">
        <v>1</v>
      </c>
      <c r="F38" s="201">
        <f>70+3+10</f>
        <v>83</v>
      </c>
      <c r="G38" s="204"/>
      <c r="H38" s="204">
        <f t="shared" ref="H38:H64" si="23">G38*F38</f>
        <v>0</v>
      </c>
      <c r="I38" s="201"/>
      <c r="J38" s="201"/>
      <c r="K38" s="201"/>
      <c r="L38" s="201"/>
      <c r="M38" s="204">
        <f t="shared" si="21"/>
        <v>0</v>
      </c>
    </row>
    <row r="39" spans="1:13" ht="15">
      <c r="A39" s="203"/>
      <c r="B39" s="202" t="s">
        <v>199</v>
      </c>
      <c r="C39" s="201" t="s">
        <v>200</v>
      </c>
      <c r="D39" s="201" t="s">
        <v>19</v>
      </c>
      <c r="E39" s="201">
        <v>1</v>
      </c>
      <c r="F39" s="201">
        <f>26+1</f>
        <v>27</v>
      </c>
      <c r="G39" s="204"/>
      <c r="H39" s="204">
        <f t="shared" si="23"/>
        <v>0</v>
      </c>
      <c r="I39" s="201"/>
      <c r="J39" s="201"/>
      <c r="K39" s="201"/>
      <c r="L39" s="201"/>
      <c r="M39" s="204">
        <f t="shared" si="21"/>
        <v>0</v>
      </c>
    </row>
    <row r="40" spans="1:13" ht="15">
      <c r="A40" s="203"/>
      <c r="B40" s="202" t="s">
        <v>201</v>
      </c>
      <c r="C40" s="201" t="s">
        <v>202</v>
      </c>
      <c r="D40" s="201" t="s">
        <v>19</v>
      </c>
      <c r="E40" s="201">
        <v>1</v>
      </c>
      <c r="F40" s="201">
        <f>65+8+12</f>
        <v>85</v>
      </c>
      <c r="G40" s="204"/>
      <c r="H40" s="204">
        <f t="shared" si="23"/>
        <v>0</v>
      </c>
      <c r="I40" s="201"/>
      <c r="J40" s="201"/>
      <c r="K40" s="201"/>
      <c r="L40" s="201"/>
      <c r="M40" s="204">
        <f t="shared" si="21"/>
        <v>0</v>
      </c>
    </row>
    <row r="41" spans="1:13" ht="15">
      <c r="A41" s="203"/>
      <c r="B41" s="202" t="s">
        <v>203</v>
      </c>
      <c r="C41" s="201" t="s">
        <v>204</v>
      </c>
      <c r="D41" s="201" t="s">
        <v>19</v>
      </c>
      <c r="E41" s="201">
        <v>1</v>
      </c>
      <c r="F41" s="201">
        <f>236+24+58</f>
        <v>318</v>
      </c>
      <c r="G41" s="204"/>
      <c r="H41" s="204">
        <f t="shared" si="23"/>
        <v>0</v>
      </c>
      <c r="I41" s="201"/>
      <c r="J41" s="201"/>
      <c r="K41" s="201"/>
      <c r="L41" s="201"/>
      <c r="M41" s="204">
        <f t="shared" si="21"/>
        <v>0</v>
      </c>
    </row>
    <row r="42" spans="1:13" ht="15">
      <c r="A42" s="203"/>
      <c r="B42" s="202" t="s">
        <v>205</v>
      </c>
      <c r="C42" s="201" t="s">
        <v>206</v>
      </c>
      <c r="D42" s="201" t="s">
        <v>19</v>
      </c>
      <c r="E42" s="201">
        <v>1</v>
      </c>
      <c r="F42" s="201">
        <f>88+4</f>
        <v>92</v>
      </c>
      <c r="G42" s="204"/>
      <c r="H42" s="204">
        <f t="shared" si="23"/>
        <v>0</v>
      </c>
      <c r="I42" s="201"/>
      <c r="J42" s="201"/>
      <c r="K42" s="201"/>
      <c r="L42" s="201"/>
      <c r="M42" s="204">
        <f t="shared" si="21"/>
        <v>0</v>
      </c>
    </row>
    <row r="43" spans="1:13" ht="15">
      <c r="A43" s="203"/>
      <c r="B43" s="202" t="s">
        <v>207</v>
      </c>
      <c r="C43" s="201" t="s">
        <v>208</v>
      </c>
      <c r="D43" s="201" t="s">
        <v>19</v>
      </c>
      <c r="E43" s="201">
        <v>1</v>
      </c>
      <c r="F43" s="201">
        <f>258+31+46+19</f>
        <v>354</v>
      </c>
      <c r="G43" s="204"/>
      <c r="H43" s="204">
        <f t="shared" si="23"/>
        <v>0</v>
      </c>
      <c r="I43" s="201"/>
      <c r="J43" s="201"/>
      <c r="K43" s="201"/>
      <c r="L43" s="201"/>
      <c r="M43" s="204">
        <f t="shared" si="21"/>
        <v>0</v>
      </c>
    </row>
    <row r="44" spans="1:13" ht="15">
      <c r="A44" s="203"/>
      <c r="B44" s="202" t="s">
        <v>209</v>
      </c>
      <c r="C44" s="201" t="s">
        <v>210</v>
      </c>
      <c r="D44" s="201" t="s">
        <v>19</v>
      </c>
      <c r="E44" s="201">
        <v>1</v>
      </c>
      <c r="F44" s="201">
        <f>4+4</f>
        <v>8</v>
      </c>
      <c r="G44" s="204"/>
      <c r="H44" s="204">
        <f t="shared" si="23"/>
        <v>0</v>
      </c>
      <c r="I44" s="201"/>
      <c r="J44" s="201"/>
      <c r="K44" s="201"/>
      <c r="L44" s="201"/>
      <c r="M44" s="204">
        <f t="shared" si="21"/>
        <v>0</v>
      </c>
    </row>
    <row r="45" spans="1:13" ht="15">
      <c r="A45" s="203"/>
      <c r="B45" s="202" t="s">
        <v>211</v>
      </c>
      <c r="C45" s="201" t="s">
        <v>212</v>
      </c>
      <c r="D45" s="201" t="s">
        <v>19</v>
      </c>
      <c r="E45" s="201">
        <v>1</v>
      </c>
      <c r="F45" s="201">
        <f>66+7</f>
        <v>73</v>
      </c>
      <c r="G45" s="204"/>
      <c r="H45" s="204">
        <f t="shared" si="23"/>
        <v>0</v>
      </c>
      <c r="I45" s="201"/>
      <c r="J45" s="201"/>
      <c r="K45" s="201"/>
      <c r="L45" s="201"/>
      <c r="M45" s="204">
        <f t="shared" si="21"/>
        <v>0</v>
      </c>
    </row>
    <row r="46" spans="1:13" ht="15">
      <c r="A46" s="203"/>
      <c r="B46" s="202" t="s">
        <v>213</v>
      </c>
      <c r="C46" s="201" t="s">
        <v>214</v>
      </c>
      <c r="D46" s="201" t="s">
        <v>19</v>
      </c>
      <c r="E46" s="201">
        <v>1</v>
      </c>
      <c r="F46" s="201">
        <f>6+2</f>
        <v>8</v>
      </c>
      <c r="G46" s="204"/>
      <c r="H46" s="204">
        <f t="shared" si="23"/>
        <v>0</v>
      </c>
      <c r="I46" s="201"/>
      <c r="J46" s="201"/>
      <c r="K46" s="201"/>
      <c r="L46" s="201"/>
      <c r="M46" s="204">
        <f t="shared" si="21"/>
        <v>0</v>
      </c>
    </row>
    <row r="47" spans="1:13" ht="15">
      <c r="A47" s="203"/>
      <c r="B47" s="202" t="s">
        <v>215</v>
      </c>
      <c r="C47" s="201" t="s">
        <v>216</v>
      </c>
      <c r="D47" s="201" t="s">
        <v>19</v>
      </c>
      <c r="E47" s="201">
        <v>1</v>
      </c>
      <c r="F47" s="201">
        <f>211+12</f>
        <v>223</v>
      </c>
      <c r="G47" s="204"/>
      <c r="H47" s="204">
        <f t="shared" si="23"/>
        <v>0</v>
      </c>
      <c r="I47" s="201"/>
      <c r="J47" s="201"/>
      <c r="K47" s="201"/>
      <c r="L47" s="201"/>
      <c r="M47" s="204">
        <f t="shared" si="21"/>
        <v>0</v>
      </c>
    </row>
    <row r="48" spans="1:13" ht="15">
      <c r="A48" s="203"/>
      <c r="B48" s="202" t="s">
        <v>217</v>
      </c>
      <c r="C48" s="201" t="s">
        <v>218</v>
      </c>
      <c r="D48" s="201" t="s">
        <v>19</v>
      </c>
      <c r="E48" s="201">
        <v>1</v>
      </c>
      <c r="F48" s="201">
        <f>3+2+4</f>
        <v>9</v>
      </c>
      <c r="G48" s="204"/>
      <c r="H48" s="204">
        <f t="shared" si="23"/>
        <v>0</v>
      </c>
      <c r="I48" s="201"/>
      <c r="J48" s="201"/>
      <c r="K48" s="201"/>
      <c r="L48" s="201"/>
      <c r="M48" s="204">
        <f t="shared" si="21"/>
        <v>0</v>
      </c>
    </row>
    <row r="49" spans="1:13" ht="15">
      <c r="A49" s="203"/>
      <c r="B49" s="202" t="s">
        <v>219</v>
      </c>
      <c r="C49" s="201" t="s">
        <v>220</v>
      </c>
      <c r="D49" s="201" t="s">
        <v>19</v>
      </c>
      <c r="E49" s="201">
        <v>1</v>
      </c>
      <c r="F49" s="201">
        <f>39+7+1</f>
        <v>47</v>
      </c>
      <c r="G49" s="204"/>
      <c r="H49" s="204">
        <f t="shared" si="23"/>
        <v>0</v>
      </c>
      <c r="I49" s="201"/>
      <c r="J49" s="201"/>
      <c r="K49" s="201"/>
      <c r="L49" s="201"/>
      <c r="M49" s="204">
        <f t="shared" si="21"/>
        <v>0</v>
      </c>
    </row>
    <row r="50" spans="1:13" ht="15">
      <c r="A50" s="203"/>
      <c r="B50" s="202" t="s">
        <v>221</v>
      </c>
      <c r="C50" s="201" t="s">
        <v>222</v>
      </c>
      <c r="D50" s="201" t="s">
        <v>19</v>
      </c>
      <c r="E50" s="201">
        <v>1</v>
      </c>
      <c r="F50" s="201">
        <f>32+2+18</f>
        <v>52</v>
      </c>
      <c r="G50" s="204"/>
      <c r="H50" s="204">
        <f t="shared" si="23"/>
        <v>0</v>
      </c>
      <c r="I50" s="201"/>
      <c r="J50" s="201"/>
      <c r="K50" s="201"/>
      <c r="L50" s="201"/>
      <c r="M50" s="204">
        <f t="shared" si="21"/>
        <v>0</v>
      </c>
    </row>
    <row r="51" spans="1:13" ht="15">
      <c r="A51" s="203"/>
      <c r="B51" s="202" t="s">
        <v>223</v>
      </c>
      <c r="C51" s="201" t="s">
        <v>224</v>
      </c>
      <c r="D51" s="201" t="s">
        <v>19</v>
      </c>
      <c r="E51" s="201">
        <v>1</v>
      </c>
      <c r="F51" s="201">
        <f>79+7+11</f>
        <v>97</v>
      </c>
      <c r="G51" s="204"/>
      <c r="H51" s="204">
        <f t="shared" si="23"/>
        <v>0</v>
      </c>
      <c r="I51" s="201"/>
      <c r="J51" s="201"/>
      <c r="K51" s="201"/>
      <c r="L51" s="201"/>
      <c r="M51" s="204">
        <f t="shared" si="21"/>
        <v>0</v>
      </c>
    </row>
    <row r="52" spans="1:13" ht="15">
      <c r="A52" s="203"/>
      <c r="B52" s="202"/>
      <c r="C52" s="205" t="s">
        <v>225</v>
      </c>
      <c r="D52" s="201" t="s">
        <v>19</v>
      </c>
      <c r="E52" s="201">
        <v>1</v>
      </c>
      <c r="F52" s="201">
        <f>4+2</f>
        <v>6</v>
      </c>
      <c r="G52" s="204"/>
      <c r="H52" s="204">
        <f t="shared" si="23"/>
        <v>0</v>
      </c>
      <c r="I52" s="201"/>
      <c r="J52" s="201"/>
      <c r="K52" s="201"/>
      <c r="L52" s="201"/>
      <c r="M52" s="204">
        <f t="shared" si="21"/>
        <v>0</v>
      </c>
    </row>
    <row r="53" spans="1:13" ht="15">
      <c r="A53" s="203"/>
      <c r="B53" s="202"/>
      <c r="C53" s="205" t="s">
        <v>226</v>
      </c>
      <c r="D53" s="201" t="s">
        <v>19</v>
      </c>
      <c r="E53" s="201">
        <v>1</v>
      </c>
      <c r="F53" s="201">
        <v>57</v>
      </c>
      <c r="G53" s="204"/>
      <c r="H53" s="204">
        <f t="shared" si="23"/>
        <v>0</v>
      </c>
      <c r="I53" s="201"/>
      <c r="J53" s="201"/>
      <c r="K53" s="201"/>
      <c r="L53" s="201"/>
      <c r="M53" s="204">
        <f t="shared" si="21"/>
        <v>0</v>
      </c>
    </row>
    <row r="54" spans="1:13" ht="15">
      <c r="A54" s="203"/>
      <c r="B54" s="202"/>
      <c r="C54" s="205" t="s">
        <v>227</v>
      </c>
      <c r="D54" s="201" t="s">
        <v>19</v>
      </c>
      <c r="E54" s="201">
        <v>1</v>
      </c>
      <c r="F54" s="201">
        <v>7</v>
      </c>
      <c r="G54" s="204"/>
      <c r="H54" s="204">
        <f t="shared" si="23"/>
        <v>0</v>
      </c>
      <c r="I54" s="201"/>
      <c r="J54" s="201"/>
      <c r="K54" s="201"/>
      <c r="L54" s="201"/>
      <c r="M54" s="204">
        <f t="shared" si="21"/>
        <v>0</v>
      </c>
    </row>
    <row r="55" spans="1:13" ht="15">
      <c r="A55" s="203"/>
      <c r="B55" s="202"/>
      <c r="C55" s="201" t="s">
        <v>228</v>
      </c>
      <c r="D55" s="201" t="s">
        <v>19</v>
      </c>
      <c r="E55" s="201">
        <v>1</v>
      </c>
      <c r="F55" s="201">
        <v>1</v>
      </c>
      <c r="G55" s="204"/>
      <c r="H55" s="204">
        <f t="shared" si="23"/>
        <v>0</v>
      </c>
      <c r="I55" s="201"/>
      <c r="J55" s="201"/>
      <c r="K55" s="201"/>
      <c r="L55" s="201"/>
      <c r="M55" s="204">
        <f t="shared" si="21"/>
        <v>0</v>
      </c>
    </row>
    <row r="56" spans="1:13" ht="15">
      <c r="A56" s="203"/>
      <c r="B56" s="202"/>
      <c r="C56" s="201" t="s">
        <v>229</v>
      </c>
      <c r="D56" s="201" t="s">
        <v>19</v>
      </c>
      <c r="E56" s="201">
        <v>1</v>
      </c>
      <c r="F56" s="201">
        <v>1</v>
      </c>
      <c r="G56" s="204"/>
      <c r="H56" s="204">
        <f t="shared" si="23"/>
        <v>0</v>
      </c>
      <c r="I56" s="201"/>
      <c r="J56" s="201"/>
      <c r="K56" s="201"/>
      <c r="L56" s="201"/>
      <c r="M56" s="204">
        <f t="shared" si="21"/>
        <v>0</v>
      </c>
    </row>
    <row r="57" spans="1:13" ht="15">
      <c r="A57" s="203"/>
      <c r="B57" s="202"/>
      <c r="C57" s="201" t="s">
        <v>230</v>
      </c>
      <c r="D57" s="201" t="s">
        <v>19</v>
      </c>
      <c r="E57" s="201">
        <v>1</v>
      </c>
      <c r="F57" s="201">
        <v>1</v>
      </c>
      <c r="G57" s="204"/>
      <c r="H57" s="204">
        <f t="shared" si="23"/>
        <v>0</v>
      </c>
      <c r="I57" s="201"/>
      <c r="J57" s="201"/>
      <c r="K57" s="201"/>
      <c r="L57" s="201"/>
      <c r="M57" s="204">
        <f t="shared" si="21"/>
        <v>0</v>
      </c>
    </row>
    <row r="58" spans="1:13" ht="15">
      <c r="A58" s="203"/>
      <c r="B58" s="202" t="s">
        <v>231</v>
      </c>
      <c r="C58" s="201" t="s">
        <v>232</v>
      </c>
      <c r="D58" s="201" t="s">
        <v>19</v>
      </c>
      <c r="E58" s="201">
        <v>1</v>
      </c>
      <c r="F58" s="201">
        <f>1+1</f>
        <v>2</v>
      </c>
      <c r="G58" s="204"/>
      <c r="H58" s="204">
        <f t="shared" si="23"/>
        <v>0</v>
      </c>
      <c r="I58" s="201"/>
      <c r="J58" s="201"/>
      <c r="K58" s="201"/>
      <c r="L58" s="201"/>
      <c r="M58" s="204">
        <f t="shared" si="21"/>
        <v>0</v>
      </c>
    </row>
    <row r="59" spans="1:13" ht="15">
      <c r="A59" s="203"/>
      <c r="B59" s="202" t="s">
        <v>233</v>
      </c>
      <c r="C59" s="201" t="s">
        <v>234</v>
      </c>
      <c r="D59" s="201" t="s">
        <v>19</v>
      </c>
      <c r="E59" s="201">
        <v>1</v>
      </c>
      <c r="F59" s="201">
        <v>11</v>
      </c>
      <c r="G59" s="204"/>
      <c r="H59" s="204">
        <f t="shared" si="23"/>
        <v>0</v>
      </c>
      <c r="I59" s="201"/>
      <c r="J59" s="201"/>
      <c r="K59" s="201"/>
      <c r="L59" s="201"/>
      <c r="M59" s="204">
        <f t="shared" si="21"/>
        <v>0</v>
      </c>
    </row>
    <row r="60" spans="1:13" ht="15">
      <c r="A60" s="203"/>
      <c r="B60" s="202" t="s">
        <v>235</v>
      </c>
      <c r="C60" s="201" t="s">
        <v>236</v>
      </c>
      <c r="D60" s="201" t="s">
        <v>19</v>
      </c>
      <c r="E60" s="201">
        <v>1</v>
      </c>
      <c r="F60" s="201">
        <v>9</v>
      </c>
      <c r="G60" s="204"/>
      <c r="H60" s="204">
        <f t="shared" si="23"/>
        <v>0</v>
      </c>
      <c r="I60" s="201"/>
      <c r="J60" s="201"/>
      <c r="K60" s="201"/>
      <c r="L60" s="201"/>
      <c r="M60" s="204">
        <f t="shared" si="21"/>
        <v>0</v>
      </c>
    </row>
    <row r="61" spans="1:13" ht="15">
      <c r="A61" s="203"/>
      <c r="B61" s="202" t="s">
        <v>237</v>
      </c>
      <c r="C61" s="205" t="s">
        <v>238</v>
      </c>
      <c r="D61" s="201" t="s">
        <v>19</v>
      </c>
      <c r="E61" s="201">
        <v>1</v>
      </c>
      <c r="F61" s="201">
        <f>1+1</f>
        <v>2</v>
      </c>
      <c r="G61" s="204"/>
      <c r="H61" s="204">
        <f t="shared" si="23"/>
        <v>0</v>
      </c>
      <c r="I61" s="201"/>
      <c r="J61" s="201"/>
      <c r="K61" s="201"/>
      <c r="L61" s="201"/>
      <c r="M61" s="204">
        <f t="shared" si="21"/>
        <v>0</v>
      </c>
    </row>
    <row r="62" spans="1:13" ht="15">
      <c r="A62" s="203"/>
      <c r="B62" s="202" t="s">
        <v>239</v>
      </c>
      <c r="C62" s="201" t="s">
        <v>240</v>
      </c>
      <c r="D62" s="201" t="s">
        <v>19</v>
      </c>
      <c r="E62" s="201">
        <v>1</v>
      </c>
      <c r="F62" s="201">
        <v>9</v>
      </c>
      <c r="G62" s="204"/>
      <c r="H62" s="204">
        <f t="shared" si="23"/>
        <v>0</v>
      </c>
      <c r="I62" s="201"/>
      <c r="J62" s="201"/>
      <c r="K62" s="201"/>
      <c r="L62" s="201"/>
      <c r="M62" s="204">
        <f t="shared" si="21"/>
        <v>0</v>
      </c>
    </row>
    <row r="63" spans="1:13" ht="15">
      <c r="A63" s="203"/>
      <c r="B63" s="202" t="s">
        <v>241</v>
      </c>
      <c r="C63" s="201" t="s">
        <v>242</v>
      </c>
      <c r="D63" s="201" t="s">
        <v>19</v>
      </c>
      <c r="E63" s="201">
        <v>1</v>
      </c>
      <c r="F63" s="201">
        <v>2</v>
      </c>
      <c r="G63" s="204"/>
      <c r="H63" s="204">
        <f t="shared" si="23"/>
        <v>0</v>
      </c>
      <c r="I63" s="201"/>
      <c r="J63" s="201"/>
      <c r="K63" s="201"/>
      <c r="L63" s="201"/>
      <c r="M63" s="204">
        <f t="shared" si="21"/>
        <v>0</v>
      </c>
    </row>
    <row r="64" spans="1:13" ht="15">
      <c r="A64" s="203"/>
      <c r="B64" s="202"/>
      <c r="C64" s="201" t="s">
        <v>21</v>
      </c>
      <c r="D64" s="201" t="s">
        <v>25</v>
      </c>
      <c r="E64" s="201">
        <v>2.4E-2</v>
      </c>
      <c r="F64" s="201">
        <f>E64*F35</f>
        <v>38.015999999999998</v>
      </c>
      <c r="G64" s="201"/>
      <c r="H64" s="204">
        <f t="shared" si="23"/>
        <v>0</v>
      </c>
      <c r="I64" s="201"/>
      <c r="J64" s="201"/>
      <c r="K64" s="201"/>
      <c r="L64" s="201"/>
      <c r="M64" s="204">
        <f t="shared" si="21"/>
        <v>0</v>
      </c>
    </row>
    <row r="65" spans="1:13" ht="15">
      <c r="A65" s="203">
        <v>7</v>
      </c>
      <c r="B65" s="202" t="s">
        <v>243</v>
      </c>
      <c r="C65" s="203" t="s">
        <v>244</v>
      </c>
      <c r="D65" s="203" t="s">
        <v>19</v>
      </c>
      <c r="E65" s="201"/>
      <c r="F65" s="201">
        <f>F68</f>
        <v>48</v>
      </c>
      <c r="G65" s="201"/>
      <c r="H65" s="201"/>
      <c r="I65" s="201"/>
      <c r="J65" s="201"/>
      <c r="K65" s="201"/>
      <c r="L65" s="201"/>
      <c r="M65" s="201"/>
    </row>
    <row r="66" spans="1:13" ht="15">
      <c r="A66" s="203"/>
      <c r="B66" s="202"/>
      <c r="C66" s="201" t="s">
        <v>180</v>
      </c>
      <c r="D66" s="201" t="s">
        <v>18</v>
      </c>
      <c r="E66" s="201">
        <v>1</v>
      </c>
      <c r="F66" s="201">
        <f>E66*F65</f>
        <v>48</v>
      </c>
      <c r="G66" s="201"/>
      <c r="H66" s="201"/>
      <c r="I66" s="201"/>
      <c r="J66" s="201">
        <f t="shared" ref="J66" si="24">I66*F66</f>
        <v>0</v>
      </c>
      <c r="K66" s="201"/>
      <c r="L66" s="201"/>
      <c r="M66" s="201">
        <f t="shared" ref="M66:M69" si="25">L66+J66+H66</f>
        <v>0</v>
      </c>
    </row>
    <row r="67" spans="1:13" ht="15">
      <c r="A67" s="203"/>
      <c r="B67" s="202"/>
      <c r="C67" s="201" t="s">
        <v>36</v>
      </c>
      <c r="D67" s="201" t="s">
        <v>25</v>
      </c>
      <c r="E67" s="201">
        <v>0.51</v>
      </c>
      <c r="F67" s="201">
        <f>E67*F65</f>
        <v>24.48</v>
      </c>
      <c r="G67" s="201"/>
      <c r="H67" s="201"/>
      <c r="I67" s="201"/>
      <c r="J67" s="201"/>
      <c r="K67" s="201"/>
      <c r="L67" s="204">
        <f t="shared" ref="L67" si="26">K67*F67</f>
        <v>0</v>
      </c>
      <c r="M67" s="204">
        <f t="shared" si="25"/>
        <v>0</v>
      </c>
    </row>
    <row r="68" spans="1:13" ht="15">
      <c r="A68" s="203"/>
      <c r="B68" s="202" t="s">
        <v>245</v>
      </c>
      <c r="C68" s="201" t="s">
        <v>246</v>
      </c>
      <c r="D68" s="201" t="s">
        <v>19</v>
      </c>
      <c r="E68" s="201">
        <v>1</v>
      </c>
      <c r="F68" s="201">
        <f>40+4+4</f>
        <v>48</v>
      </c>
      <c r="G68" s="204"/>
      <c r="H68" s="204">
        <f t="shared" ref="H68:H69" si="27">G68*F68</f>
        <v>0</v>
      </c>
      <c r="I68" s="201"/>
      <c r="J68" s="201"/>
      <c r="K68" s="201"/>
      <c r="L68" s="201"/>
      <c r="M68" s="204">
        <f t="shared" si="25"/>
        <v>0</v>
      </c>
    </row>
    <row r="69" spans="1:13" ht="15">
      <c r="A69" s="203"/>
      <c r="B69" s="202"/>
      <c r="C69" s="201" t="s">
        <v>21</v>
      </c>
      <c r="D69" s="201" t="s">
        <v>25</v>
      </c>
      <c r="E69" s="201">
        <v>0.37</v>
      </c>
      <c r="F69" s="201">
        <f>E69*F65</f>
        <v>17.759999999999998</v>
      </c>
      <c r="G69" s="201"/>
      <c r="H69" s="204">
        <f t="shared" si="27"/>
        <v>0</v>
      </c>
      <c r="I69" s="201"/>
      <c r="J69" s="201"/>
      <c r="K69" s="201"/>
      <c r="L69" s="201"/>
      <c r="M69" s="204">
        <f t="shared" si="25"/>
        <v>0</v>
      </c>
    </row>
    <row r="70" spans="1:13" ht="15">
      <c r="A70" s="203">
        <v>8</v>
      </c>
      <c r="B70" s="202" t="s">
        <v>247</v>
      </c>
      <c r="C70" s="203" t="s">
        <v>248</v>
      </c>
      <c r="D70" s="203" t="s">
        <v>19</v>
      </c>
      <c r="E70" s="201"/>
      <c r="F70" s="201">
        <f>65+7+2+18</f>
        <v>92</v>
      </c>
      <c r="G70" s="201"/>
      <c r="H70" s="201"/>
      <c r="I70" s="201"/>
      <c r="J70" s="201"/>
      <c r="K70" s="201"/>
      <c r="L70" s="201"/>
      <c r="M70" s="201"/>
    </row>
    <row r="71" spans="1:13" ht="15">
      <c r="A71" s="203"/>
      <c r="B71" s="202"/>
      <c r="C71" s="201" t="s">
        <v>180</v>
      </c>
      <c r="D71" s="201" t="s">
        <v>18</v>
      </c>
      <c r="E71" s="201">
        <v>1</v>
      </c>
      <c r="F71" s="201">
        <f>E71*F70</f>
        <v>92</v>
      </c>
      <c r="G71" s="201"/>
      <c r="H71" s="201"/>
      <c r="I71" s="201"/>
      <c r="J71" s="201">
        <f t="shared" ref="J71" si="28">I71*F71</f>
        <v>0</v>
      </c>
      <c r="K71" s="201"/>
      <c r="L71" s="201"/>
      <c r="M71" s="201">
        <f t="shared" ref="M71:M74" si="29">L71+J71+H71</f>
        <v>0</v>
      </c>
    </row>
    <row r="72" spans="1:13" ht="15">
      <c r="A72" s="203"/>
      <c r="B72" s="202"/>
      <c r="C72" s="201" t="s">
        <v>36</v>
      </c>
      <c r="D72" s="201" t="s">
        <v>25</v>
      </c>
      <c r="E72" s="201">
        <v>0.28999999999999998</v>
      </c>
      <c r="F72" s="201">
        <f>E72*F70</f>
        <v>26.68</v>
      </c>
      <c r="G72" s="201"/>
      <c r="H72" s="201"/>
      <c r="I72" s="201"/>
      <c r="J72" s="201"/>
      <c r="K72" s="201"/>
      <c r="L72" s="204">
        <f t="shared" ref="L72" si="30">K72*F72</f>
        <v>0</v>
      </c>
      <c r="M72" s="204">
        <f t="shared" si="29"/>
        <v>0</v>
      </c>
    </row>
    <row r="73" spans="1:13" ht="15">
      <c r="A73" s="203"/>
      <c r="B73" s="202" t="s">
        <v>249</v>
      </c>
      <c r="C73" s="201" t="s">
        <v>250</v>
      </c>
      <c r="D73" s="201" t="s">
        <v>19</v>
      </c>
      <c r="E73" s="201">
        <v>1</v>
      </c>
      <c r="F73" s="201">
        <f>E73*F70</f>
        <v>92</v>
      </c>
      <c r="G73" s="204"/>
      <c r="H73" s="204">
        <f t="shared" ref="H73:H74" si="31">G73*F73</f>
        <v>0</v>
      </c>
      <c r="I73" s="201"/>
      <c r="J73" s="201"/>
      <c r="K73" s="201"/>
      <c r="L73" s="201"/>
      <c r="M73" s="204">
        <f t="shared" si="29"/>
        <v>0</v>
      </c>
    </row>
    <row r="74" spans="1:13" ht="15">
      <c r="A74" s="203"/>
      <c r="B74" s="202"/>
      <c r="C74" s="201" t="s">
        <v>21</v>
      </c>
      <c r="D74" s="201" t="s">
        <v>25</v>
      </c>
      <c r="E74" s="201">
        <v>0.2</v>
      </c>
      <c r="F74" s="201">
        <f>E74*F70</f>
        <v>18.400000000000002</v>
      </c>
      <c r="G74" s="201"/>
      <c r="H74" s="204">
        <f t="shared" si="31"/>
        <v>0</v>
      </c>
      <c r="I74" s="201"/>
      <c r="J74" s="201"/>
      <c r="K74" s="201"/>
      <c r="L74" s="201"/>
      <c r="M74" s="204">
        <f t="shared" si="29"/>
        <v>0</v>
      </c>
    </row>
    <row r="75" spans="1:13" ht="15">
      <c r="A75" s="203">
        <v>9</v>
      </c>
      <c r="B75" s="202" t="s">
        <v>251</v>
      </c>
      <c r="C75" s="203" t="s">
        <v>252</v>
      </c>
      <c r="D75" s="203" t="s">
        <v>19</v>
      </c>
      <c r="E75" s="201"/>
      <c r="F75" s="201">
        <f>68+6</f>
        <v>74</v>
      </c>
      <c r="G75" s="201"/>
      <c r="H75" s="201"/>
      <c r="I75" s="201"/>
      <c r="J75" s="201"/>
      <c r="K75" s="201"/>
      <c r="L75" s="201"/>
      <c r="M75" s="201"/>
    </row>
    <row r="76" spans="1:13" ht="15">
      <c r="A76" s="203"/>
      <c r="B76" s="202"/>
      <c r="C76" s="201" t="s">
        <v>180</v>
      </c>
      <c r="D76" s="201" t="s">
        <v>18</v>
      </c>
      <c r="E76" s="201">
        <v>1</v>
      </c>
      <c r="F76" s="201">
        <f>E76*F75</f>
        <v>74</v>
      </c>
      <c r="G76" s="201"/>
      <c r="H76" s="201"/>
      <c r="I76" s="201"/>
      <c r="J76" s="201">
        <f t="shared" ref="J76" si="32">I76*F76</f>
        <v>0</v>
      </c>
      <c r="K76" s="201"/>
      <c r="L76" s="201"/>
      <c r="M76" s="201">
        <f t="shared" ref="M76:M79" si="33">L76+J76+H76</f>
        <v>0</v>
      </c>
    </row>
    <row r="77" spans="1:13" ht="15">
      <c r="A77" s="203"/>
      <c r="B77" s="202"/>
      <c r="C77" s="201" t="s">
        <v>36</v>
      </c>
      <c r="D77" s="201" t="s">
        <v>25</v>
      </c>
      <c r="E77" s="201">
        <v>0.13</v>
      </c>
      <c r="F77" s="201">
        <f>E77*F75</f>
        <v>9.620000000000001</v>
      </c>
      <c r="G77" s="201"/>
      <c r="H77" s="201"/>
      <c r="I77" s="201"/>
      <c r="J77" s="201"/>
      <c r="K77" s="201"/>
      <c r="L77" s="204">
        <f t="shared" ref="L77" si="34">K77*F77</f>
        <v>0</v>
      </c>
      <c r="M77" s="204">
        <f t="shared" si="33"/>
        <v>0</v>
      </c>
    </row>
    <row r="78" spans="1:13" ht="15">
      <c r="A78" s="203"/>
      <c r="B78" s="202" t="s">
        <v>253</v>
      </c>
      <c r="C78" s="201" t="s">
        <v>254</v>
      </c>
      <c r="D78" s="201" t="s">
        <v>19</v>
      </c>
      <c r="E78" s="201">
        <v>1</v>
      </c>
      <c r="F78" s="201">
        <f>E78*F75</f>
        <v>74</v>
      </c>
      <c r="G78" s="204"/>
      <c r="H78" s="204">
        <f t="shared" ref="H78:H79" si="35">G78*F78</f>
        <v>0</v>
      </c>
      <c r="I78" s="201"/>
      <c r="J78" s="201"/>
      <c r="K78" s="201"/>
      <c r="L78" s="201"/>
      <c r="M78" s="204">
        <f t="shared" si="33"/>
        <v>0</v>
      </c>
    </row>
    <row r="79" spans="1:13" ht="15">
      <c r="A79" s="203"/>
      <c r="B79" s="202"/>
      <c r="C79" s="201" t="s">
        <v>21</v>
      </c>
      <c r="D79" s="201" t="s">
        <v>25</v>
      </c>
      <c r="E79" s="201">
        <v>7.0000000000000007E-2</v>
      </c>
      <c r="F79" s="201">
        <f>E79*F75</f>
        <v>5.1800000000000006</v>
      </c>
      <c r="G79" s="201"/>
      <c r="H79" s="204">
        <f t="shared" si="35"/>
        <v>0</v>
      </c>
      <c r="I79" s="201"/>
      <c r="J79" s="201"/>
      <c r="K79" s="201"/>
      <c r="L79" s="201"/>
      <c r="M79" s="204">
        <f t="shared" si="33"/>
        <v>0</v>
      </c>
    </row>
    <row r="80" spans="1:13" ht="15">
      <c r="A80" s="203">
        <v>10</v>
      </c>
      <c r="B80" s="202" t="s">
        <v>243</v>
      </c>
      <c r="C80" s="203" t="s">
        <v>255</v>
      </c>
      <c r="D80" s="203" t="s">
        <v>19</v>
      </c>
      <c r="E80" s="201"/>
      <c r="F80" s="201">
        <f>11+5+5</f>
        <v>21</v>
      </c>
      <c r="G80" s="201"/>
      <c r="H80" s="201"/>
      <c r="I80" s="201"/>
      <c r="J80" s="201"/>
      <c r="K80" s="201"/>
      <c r="L80" s="201"/>
      <c r="M80" s="201"/>
    </row>
    <row r="81" spans="1:13" ht="15">
      <c r="A81" s="203"/>
      <c r="B81" s="202"/>
      <c r="C81" s="201" t="s">
        <v>180</v>
      </c>
      <c r="D81" s="201" t="s">
        <v>18</v>
      </c>
      <c r="E81" s="201">
        <v>1</v>
      </c>
      <c r="F81" s="201">
        <f>E81*F80</f>
        <v>21</v>
      </c>
      <c r="G81" s="201"/>
      <c r="H81" s="201"/>
      <c r="I81" s="201"/>
      <c r="J81" s="201">
        <f t="shared" ref="J81" si="36">I81*F81</f>
        <v>0</v>
      </c>
      <c r="K81" s="201"/>
      <c r="L81" s="201"/>
      <c r="M81" s="201">
        <f t="shared" ref="M81:M84" si="37">L81+J81+H81</f>
        <v>0</v>
      </c>
    </row>
    <row r="82" spans="1:13" ht="15">
      <c r="A82" s="203"/>
      <c r="B82" s="202"/>
      <c r="C82" s="201" t="s">
        <v>36</v>
      </c>
      <c r="D82" s="201" t="s">
        <v>25</v>
      </c>
      <c r="E82" s="201">
        <v>0.51</v>
      </c>
      <c r="F82" s="201">
        <f>E82*F80</f>
        <v>10.71</v>
      </c>
      <c r="G82" s="201"/>
      <c r="H82" s="201"/>
      <c r="I82" s="201"/>
      <c r="J82" s="201"/>
      <c r="K82" s="201"/>
      <c r="L82" s="204">
        <f t="shared" ref="L82" si="38">K82*F82</f>
        <v>0</v>
      </c>
      <c r="M82" s="204">
        <f t="shared" si="37"/>
        <v>0</v>
      </c>
    </row>
    <row r="83" spans="1:13" ht="15">
      <c r="A83" s="203"/>
      <c r="B83" s="202" t="s">
        <v>256</v>
      </c>
      <c r="C83" s="201" t="s">
        <v>255</v>
      </c>
      <c r="D83" s="201" t="s">
        <v>19</v>
      </c>
      <c r="E83" s="201">
        <v>1</v>
      </c>
      <c r="F83" s="201">
        <f>E83*F80</f>
        <v>21</v>
      </c>
      <c r="G83" s="204"/>
      <c r="H83" s="204">
        <f t="shared" ref="H83:H84" si="39">G83*F83</f>
        <v>0</v>
      </c>
      <c r="I83" s="201"/>
      <c r="J83" s="201"/>
      <c r="K83" s="201"/>
      <c r="L83" s="201"/>
      <c r="M83" s="204">
        <f t="shared" si="37"/>
        <v>0</v>
      </c>
    </row>
    <row r="84" spans="1:13" ht="15">
      <c r="A84" s="203"/>
      <c r="B84" s="202"/>
      <c r="C84" s="201" t="s">
        <v>21</v>
      </c>
      <c r="D84" s="201" t="s">
        <v>25</v>
      </c>
      <c r="E84" s="201">
        <v>0.37</v>
      </c>
      <c r="F84" s="201">
        <f>E84*F80</f>
        <v>7.77</v>
      </c>
      <c r="G84" s="201"/>
      <c r="H84" s="204">
        <f t="shared" si="39"/>
        <v>0</v>
      </c>
      <c r="I84" s="201"/>
      <c r="J84" s="201"/>
      <c r="K84" s="201"/>
      <c r="L84" s="201"/>
      <c r="M84" s="204">
        <f t="shared" si="37"/>
        <v>0</v>
      </c>
    </row>
    <row r="85" spans="1:13" ht="15">
      <c r="A85" s="203">
        <v>11</v>
      </c>
      <c r="B85" s="202" t="s">
        <v>247</v>
      </c>
      <c r="C85" s="203" t="s">
        <v>257</v>
      </c>
      <c r="D85" s="203" t="s">
        <v>19</v>
      </c>
      <c r="E85" s="201"/>
      <c r="F85" s="201">
        <f>67+6+3</f>
        <v>76</v>
      </c>
      <c r="G85" s="201"/>
      <c r="H85" s="201"/>
      <c r="I85" s="201"/>
      <c r="J85" s="201"/>
      <c r="K85" s="201"/>
      <c r="L85" s="201"/>
      <c r="M85" s="201"/>
    </row>
    <row r="86" spans="1:13" ht="15">
      <c r="A86" s="203"/>
      <c r="B86" s="202"/>
      <c r="C86" s="201" t="s">
        <v>180</v>
      </c>
      <c r="D86" s="201" t="s">
        <v>18</v>
      </c>
      <c r="E86" s="201">
        <v>1</v>
      </c>
      <c r="F86" s="201">
        <f>E86*F85</f>
        <v>76</v>
      </c>
      <c r="G86" s="201"/>
      <c r="H86" s="201"/>
      <c r="I86" s="201"/>
      <c r="J86" s="201">
        <f t="shared" ref="J86" si="40">I86*F86</f>
        <v>0</v>
      </c>
      <c r="K86" s="201"/>
      <c r="L86" s="201"/>
      <c r="M86" s="201">
        <f t="shared" ref="M86:M89" si="41">L86+J86+H86</f>
        <v>0</v>
      </c>
    </row>
    <row r="87" spans="1:13" ht="15">
      <c r="A87" s="203"/>
      <c r="B87" s="202"/>
      <c r="C87" s="201" t="s">
        <v>36</v>
      </c>
      <c r="D87" s="201" t="s">
        <v>25</v>
      </c>
      <c r="E87" s="201">
        <v>0.28999999999999998</v>
      </c>
      <c r="F87" s="201">
        <f>E87*F85</f>
        <v>22.04</v>
      </c>
      <c r="G87" s="201"/>
      <c r="H87" s="201"/>
      <c r="I87" s="201"/>
      <c r="J87" s="201"/>
      <c r="K87" s="201"/>
      <c r="L87" s="204">
        <f t="shared" ref="L87" si="42">K87*F87</f>
        <v>0</v>
      </c>
      <c r="M87" s="204">
        <f t="shared" si="41"/>
        <v>0</v>
      </c>
    </row>
    <row r="88" spans="1:13" ht="15">
      <c r="A88" s="203"/>
      <c r="B88" s="202" t="s">
        <v>258</v>
      </c>
      <c r="C88" s="201" t="s">
        <v>257</v>
      </c>
      <c r="D88" s="201" t="s">
        <v>19</v>
      </c>
      <c r="E88" s="201">
        <v>1</v>
      </c>
      <c r="F88" s="201">
        <f>E88*F85</f>
        <v>76</v>
      </c>
      <c r="G88" s="204"/>
      <c r="H88" s="204">
        <f t="shared" ref="H88:H89" si="43">G88*F88</f>
        <v>0</v>
      </c>
      <c r="I88" s="201"/>
      <c r="J88" s="201"/>
      <c r="K88" s="201"/>
      <c r="L88" s="201"/>
      <c r="M88" s="204">
        <f t="shared" si="41"/>
        <v>0</v>
      </c>
    </row>
    <row r="89" spans="1:13" ht="15">
      <c r="A89" s="203"/>
      <c r="B89" s="202"/>
      <c r="C89" s="201" t="s">
        <v>21</v>
      </c>
      <c r="D89" s="201" t="s">
        <v>25</v>
      </c>
      <c r="E89" s="201">
        <v>0.2</v>
      </c>
      <c r="F89" s="201">
        <f>E89*F85</f>
        <v>15.200000000000001</v>
      </c>
      <c r="G89" s="201"/>
      <c r="H89" s="204">
        <f t="shared" si="43"/>
        <v>0</v>
      </c>
      <c r="I89" s="201"/>
      <c r="J89" s="201"/>
      <c r="K89" s="201"/>
      <c r="L89" s="201"/>
      <c r="M89" s="204">
        <f t="shared" si="41"/>
        <v>0</v>
      </c>
    </row>
    <row r="90" spans="1:13" ht="15">
      <c r="A90" s="203">
        <v>12</v>
      </c>
      <c r="B90" s="202" t="s">
        <v>259</v>
      </c>
      <c r="C90" s="203" t="s">
        <v>260</v>
      </c>
      <c r="D90" s="203" t="s">
        <v>99</v>
      </c>
      <c r="E90" s="201"/>
      <c r="F90" s="201">
        <v>5</v>
      </c>
      <c r="G90" s="201"/>
      <c r="H90" s="201"/>
      <c r="I90" s="201"/>
      <c r="J90" s="201"/>
      <c r="K90" s="201"/>
      <c r="L90" s="201"/>
      <c r="M90" s="201"/>
    </row>
    <row r="91" spans="1:13" ht="15">
      <c r="A91" s="203"/>
      <c r="B91" s="202"/>
      <c r="C91" s="201" t="s">
        <v>180</v>
      </c>
      <c r="D91" s="201" t="s">
        <v>99</v>
      </c>
      <c r="E91" s="201">
        <v>1</v>
      </c>
      <c r="F91" s="201">
        <f>E91*F90</f>
        <v>5</v>
      </c>
      <c r="G91" s="201"/>
      <c r="H91" s="201"/>
      <c r="I91" s="201"/>
      <c r="J91" s="201">
        <f t="shared" ref="J91" si="44">I91*F91</f>
        <v>0</v>
      </c>
      <c r="K91" s="201"/>
      <c r="L91" s="201"/>
      <c r="M91" s="201">
        <f t="shared" ref="M91:M94" si="45">L91+J91+H91</f>
        <v>0</v>
      </c>
    </row>
    <row r="92" spans="1:13" ht="15">
      <c r="A92" s="203"/>
      <c r="B92" s="202"/>
      <c r="C92" s="201" t="s">
        <v>36</v>
      </c>
      <c r="D92" s="201" t="s">
        <v>25</v>
      </c>
      <c r="E92" s="201">
        <v>0.15</v>
      </c>
      <c r="F92" s="201">
        <f>E92*F90</f>
        <v>0.75</v>
      </c>
      <c r="G92" s="201"/>
      <c r="H92" s="201"/>
      <c r="I92" s="201"/>
      <c r="J92" s="201"/>
      <c r="K92" s="201"/>
      <c r="L92" s="204">
        <f t="shared" ref="L92" si="46">K92*F92</f>
        <v>0</v>
      </c>
      <c r="M92" s="204">
        <f t="shared" si="45"/>
        <v>0</v>
      </c>
    </row>
    <row r="93" spans="1:13" ht="15">
      <c r="A93" s="203"/>
      <c r="B93" s="202" t="s">
        <v>261</v>
      </c>
      <c r="C93" s="201" t="s">
        <v>260</v>
      </c>
      <c r="D93" s="201" t="s">
        <v>99</v>
      </c>
      <c r="E93" s="201">
        <v>1</v>
      </c>
      <c r="F93" s="201">
        <f>E93*F90</f>
        <v>5</v>
      </c>
      <c r="G93" s="204"/>
      <c r="H93" s="204">
        <f t="shared" ref="H93:H94" si="47">G93*F93</f>
        <v>0</v>
      </c>
      <c r="I93" s="201"/>
      <c r="J93" s="201"/>
      <c r="K93" s="201"/>
      <c r="L93" s="201"/>
      <c r="M93" s="204">
        <f t="shared" si="45"/>
        <v>0</v>
      </c>
    </row>
    <row r="94" spans="1:13" ht="15">
      <c r="A94" s="203"/>
      <c r="B94" s="202"/>
      <c r="C94" s="201" t="s">
        <v>21</v>
      </c>
      <c r="D94" s="201" t="s">
        <v>25</v>
      </c>
      <c r="E94" s="201">
        <v>0.128</v>
      </c>
      <c r="F94" s="201">
        <f>E94*F90</f>
        <v>0.64</v>
      </c>
      <c r="G94" s="201"/>
      <c r="H94" s="204">
        <f t="shared" si="47"/>
        <v>0</v>
      </c>
      <c r="I94" s="201"/>
      <c r="J94" s="201"/>
      <c r="K94" s="201"/>
      <c r="L94" s="201"/>
      <c r="M94" s="204">
        <f t="shared" si="45"/>
        <v>0</v>
      </c>
    </row>
    <row r="95" spans="1:13" ht="15">
      <c r="A95" s="203">
        <v>13</v>
      </c>
      <c r="B95" s="202" t="s">
        <v>262</v>
      </c>
      <c r="C95" s="203" t="s">
        <v>263</v>
      </c>
      <c r="D95" s="203" t="s">
        <v>99</v>
      </c>
      <c r="E95" s="201"/>
      <c r="F95" s="201">
        <f>117+24+22+50</f>
        <v>213</v>
      </c>
      <c r="G95" s="201"/>
      <c r="H95" s="201"/>
      <c r="I95" s="201"/>
      <c r="J95" s="201"/>
      <c r="K95" s="201"/>
      <c r="L95" s="201"/>
      <c r="M95" s="201"/>
    </row>
    <row r="96" spans="1:13" ht="15">
      <c r="A96" s="203"/>
      <c r="B96" s="202"/>
      <c r="C96" s="201" t="s">
        <v>180</v>
      </c>
      <c r="D96" s="201" t="s">
        <v>99</v>
      </c>
      <c r="E96" s="201">
        <v>1</v>
      </c>
      <c r="F96" s="201">
        <f>E96*F95</f>
        <v>213</v>
      </c>
      <c r="G96" s="201"/>
      <c r="H96" s="201"/>
      <c r="I96" s="201"/>
      <c r="J96" s="201">
        <f t="shared" ref="J96" si="48">I96*F96</f>
        <v>0</v>
      </c>
      <c r="K96" s="201"/>
      <c r="L96" s="201"/>
      <c r="M96" s="201">
        <f t="shared" ref="M96:M99" si="49">L96+J96+H96</f>
        <v>0</v>
      </c>
    </row>
    <row r="97" spans="1:13" ht="15">
      <c r="A97" s="203"/>
      <c r="B97" s="202"/>
      <c r="C97" s="201" t="s">
        <v>264</v>
      </c>
      <c r="D97" s="201" t="s">
        <v>99</v>
      </c>
      <c r="E97" s="201"/>
      <c r="F97" s="201">
        <v>117</v>
      </c>
      <c r="G97" s="204"/>
      <c r="H97" s="204">
        <f t="shared" ref="H97:H99" si="50">G97*F97</f>
        <v>0</v>
      </c>
      <c r="I97" s="201"/>
      <c r="J97" s="201"/>
      <c r="K97" s="201"/>
      <c r="L97" s="204"/>
      <c r="M97" s="204">
        <f t="shared" si="49"/>
        <v>0</v>
      </c>
    </row>
    <row r="98" spans="1:13" ht="15">
      <c r="A98" s="203"/>
      <c r="B98" s="202"/>
      <c r="C98" s="201" t="s">
        <v>265</v>
      </c>
      <c r="D98" s="201" t="s">
        <v>99</v>
      </c>
      <c r="E98" s="201"/>
      <c r="F98" s="201">
        <f>24+25</f>
        <v>49</v>
      </c>
      <c r="G98" s="204"/>
      <c r="H98" s="204">
        <f t="shared" si="50"/>
        <v>0</v>
      </c>
      <c r="I98" s="201"/>
      <c r="J98" s="201"/>
      <c r="K98" s="201"/>
      <c r="L98" s="201"/>
      <c r="M98" s="204">
        <f t="shared" si="49"/>
        <v>0</v>
      </c>
    </row>
    <row r="99" spans="1:13" ht="15">
      <c r="A99" s="203"/>
      <c r="B99" s="202"/>
      <c r="C99" s="201" t="s">
        <v>266</v>
      </c>
      <c r="D99" s="201" t="s">
        <v>99</v>
      </c>
      <c r="E99" s="201"/>
      <c r="F99" s="201">
        <f>22+18+6</f>
        <v>46</v>
      </c>
      <c r="G99" s="201"/>
      <c r="H99" s="204">
        <f t="shared" si="50"/>
        <v>0</v>
      </c>
      <c r="I99" s="201"/>
      <c r="J99" s="201"/>
      <c r="K99" s="201"/>
      <c r="L99" s="201"/>
      <c r="M99" s="204">
        <f t="shared" si="49"/>
        <v>0</v>
      </c>
    </row>
    <row r="100" spans="1:13" ht="45">
      <c r="A100" s="203">
        <v>14</v>
      </c>
      <c r="B100" s="202" t="s">
        <v>243</v>
      </c>
      <c r="C100" s="203" t="s">
        <v>267</v>
      </c>
      <c r="D100" s="203" t="s">
        <v>268</v>
      </c>
      <c r="E100" s="201"/>
      <c r="F100" s="201">
        <v>4</v>
      </c>
      <c r="G100" s="201"/>
      <c r="H100" s="201"/>
      <c r="I100" s="201"/>
      <c r="J100" s="201"/>
      <c r="K100" s="201"/>
      <c r="L100" s="201"/>
      <c r="M100" s="201"/>
    </row>
    <row r="101" spans="1:13" ht="15">
      <c r="A101" s="203"/>
      <c r="B101" s="202"/>
      <c r="C101" s="201" t="s">
        <v>180</v>
      </c>
      <c r="D101" s="201" t="s">
        <v>18</v>
      </c>
      <c r="E101" s="201">
        <v>1</v>
      </c>
      <c r="F101" s="201">
        <f>E101*F100</f>
        <v>4</v>
      </c>
      <c r="G101" s="201"/>
      <c r="H101" s="201"/>
      <c r="I101" s="201"/>
      <c r="J101" s="201">
        <f t="shared" ref="J101" si="51">I101*F101</f>
        <v>0</v>
      </c>
      <c r="K101" s="201"/>
      <c r="L101" s="201"/>
      <c r="M101" s="201">
        <f t="shared" ref="M101:M104" si="52">L101+J101+H101</f>
        <v>0</v>
      </c>
    </row>
    <row r="102" spans="1:13" ht="15">
      <c r="A102" s="203"/>
      <c r="B102" s="202"/>
      <c r="C102" s="201" t="s">
        <v>36</v>
      </c>
      <c r="D102" s="201" t="s">
        <v>25</v>
      </c>
      <c r="E102" s="201">
        <v>0.51</v>
      </c>
      <c r="F102" s="201">
        <f>E102*F100</f>
        <v>2.04</v>
      </c>
      <c r="G102" s="201"/>
      <c r="H102" s="201"/>
      <c r="I102" s="201"/>
      <c r="J102" s="201"/>
      <c r="K102" s="201"/>
      <c r="L102" s="204">
        <f t="shared" ref="L102" si="53">K102*F102</f>
        <v>0</v>
      </c>
      <c r="M102" s="204">
        <f t="shared" si="52"/>
        <v>0</v>
      </c>
    </row>
    <row r="103" spans="1:13" ht="45">
      <c r="A103" s="203"/>
      <c r="B103" s="202" t="s">
        <v>269</v>
      </c>
      <c r="C103" s="201" t="s">
        <v>267</v>
      </c>
      <c r="D103" s="201" t="s">
        <v>268</v>
      </c>
      <c r="E103" s="201">
        <v>1</v>
      </c>
      <c r="F103" s="201">
        <f>E103*F100</f>
        <v>4</v>
      </c>
      <c r="G103" s="204"/>
      <c r="H103" s="204">
        <f t="shared" ref="H103:H104" si="54">G103*F103</f>
        <v>0</v>
      </c>
      <c r="I103" s="201"/>
      <c r="J103" s="201"/>
      <c r="K103" s="201"/>
      <c r="L103" s="201"/>
      <c r="M103" s="204">
        <f t="shared" si="52"/>
        <v>0</v>
      </c>
    </row>
    <row r="104" spans="1:13" ht="15">
      <c r="A104" s="203"/>
      <c r="B104" s="202"/>
      <c r="C104" s="201" t="s">
        <v>21</v>
      </c>
      <c r="D104" s="201" t="s">
        <v>25</v>
      </c>
      <c r="E104" s="201">
        <v>0.37</v>
      </c>
      <c r="F104" s="201">
        <f>E104*F100</f>
        <v>1.48</v>
      </c>
      <c r="G104" s="201"/>
      <c r="H104" s="204">
        <f t="shared" si="54"/>
        <v>0</v>
      </c>
      <c r="I104" s="201"/>
      <c r="J104" s="201"/>
      <c r="K104" s="201"/>
      <c r="L104" s="201"/>
      <c r="M104" s="204">
        <f t="shared" si="52"/>
        <v>0</v>
      </c>
    </row>
    <row r="105" spans="1:13" ht="18">
      <c r="A105" s="203"/>
      <c r="B105" s="202"/>
      <c r="C105" s="206" t="s">
        <v>270</v>
      </c>
      <c r="D105" s="201"/>
      <c r="E105" s="201"/>
      <c r="F105" s="201"/>
      <c r="G105" s="201"/>
      <c r="H105" s="204"/>
      <c r="I105" s="201"/>
      <c r="J105" s="201"/>
      <c r="K105" s="201"/>
      <c r="L105" s="201"/>
      <c r="M105" s="204"/>
    </row>
    <row r="106" spans="1:13" ht="15">
      <c r="A106" s="203">
        <v>15</v>
      </c>
      <c r="B106" s="202" t="s">
        <v>271</v>
      </c>
      <c r="C106" s="203" t="s">
        <v>272</v>
      </c>
      <c r="D106" s="203" t="s">
        <v>268</v>
      </c>
      <c r="E106" s="201"/>
      <c r="F106" s="201">
        <f>55+4</f>
        <v>59</v>
      </c>
      <c r="G106" s="201"/>
      <c r="H106" s="201"/>
      <c r="I106" s="201"/>
      <c r="J106" s="201"/>
      <c r="K106" s="201"/>
      <c r="L106" s="201"/>
      <c r="M106" s="201"/>
    </row>
    <row r="107" spans="1:13" ht="15">
      <c r="A107" s="203"/>
      <c r="B107" s="202"/>
      <c r="C107" s="201" t="s">
        <v>180</v>
      </c>
      <c r="D107" s="201" t="s">
        <v>19</v>
      </c>
      <c r="E107" s="201">
        <v>1</v>
      </c>
      <c r="F107" s="201">
        <f>E107*F106</f>
        <v>59</v>
      </c>
      <c r="G107" s="201"/>
      <c r="H107" s="201"/>
      <c r="I107" s="201"/>
      <c r="J107" s="201">
        <f t="shared" ref="J107" si="55">I107*F107</f>
        <v>0</v>
      </c>
      <c r="K107" s="201"/>
      <c r="L107" s="201"/>
      <c r="M107" s="201">
        <f t="shared" ref="M107:M111" si="56">L107+J107+H107</f>
        <v>0</v>
      </c>
    </row>
    <row r="108" spans="1:13" ht="15">
      <c r="A108" s="203"/>
      <c r="B108" s="202"/>
      <c r="C108" s="201" t="s">
        <v>36</v>
      </c>
      <c r="D108" s="201" t="s">
        <v>25</v>
      </c>
      <c r="E108" s="201">
        <v>0.14000000000000001</v>
      </c>
      <c r="F108" s="201">
        <f>E108*F106</f>
        <v>8.2600000000000016</v>
      </c>
      <c r="G108" s="201"/>
      <c r="H108" s="201"/>
      <c r="I108" s="201"/>
      <c r="J108" s="201"/>
      <c r="K108" s="201"/>
      <c r="L108" s="204">
        <f t="shared" ref="L108" si="57">K108*F108</f>
        <v>0</v>
      </c>
      <c r="M108" s="204">
        <f t="shared" si="56"/>
        <v>0</v>
      </c>
    </row>
    <row r="109" spans="1:13" ht="15">
      <c r="A109" s="203"/>
      <c r="B109" s="202"/>
      <c r="C109" s="201" t="s">
        <v>273</v>
      </c>
      <c r="D109" s="201" t="s">
        <v>268</v>
      </c>
      <c r="E109" s="201">
        <v>1</v>
      </c>
      <c r="F109" s="201">
        <f>E109*F106</f>
        <v>59</v>
      </c>
      <c r="G109" s="204"/>
      <c r="H109" s="204">
        <f t="shared" ref="H109:H111" si="58">G109*F109</f>
        <v>0</v>
      </c>
      <c r="I109" s="201"/>
      <c r="J109" s="201"/>
      <c r="K109" s="201"/>
      <c r="L109" s="201"/>
      <c r="M109" s="204">
        <f t="shared" si="56"/>
        <v>0</v>
      </c>
    </row>
    <row r="110" spans="1:13" ht="15">
      <c r="A110" s="203"/>
      <c r="B110" s="202"/>
      <c r="C110" s="201" t="s">
        <v>274</v>
      </c>
      <c r="D110" s="201" t="s">
        <v>19</v>
      </c>
      <c r="E110" s="201"/>
      <c r="F110" s="201">
        <f>F106</f>
        <v>59</v>
      </c>
      <c r="G110" s="201"/>
      <c r="H110" s="204">
        <f t="shared" si="58"/>
        <v>0</v>
      </c>
      <c r="I110" s="201"/>
      <c r="J110" s="201"/>
      <c r="K110" s="201"/>
      <c r="L110" s="201"/>
      <c r="M110" s="204">
        <f t="shared" si="56"/>
        <v>0</v>
      </c>
    </row>
    <row r="111" spans="1:13" ht="15">
      <c r="A111" s="203"/>
      <c r="B111" s="202"/>
      <c r="C111" s="201" t="s">
        <v>21</v>
      </c>
      <c r="D111" s="201" t="s">
        <v>25</v>
      </c>
      <c r="E111" s="201">
        <v>0.04</v>
      </c>
      <c r="F111" s="201">
        <f>E111*F106</f>
        <v>2.36</v>
      </c>
      <c r="G111" s="201"/>
      <c r="H111" s="204">
        <f t="shared" si="58"/>
        <v>0</v>
      </c>
      <c r="I111" s="201"/>
      <c r="J111" s="201"/>
      <c r="K111" s="201"/>
      <c r="L111" s="201"/>
      <c r="M111" s="204">
        <f t="shared" si="56"/>
        <v>0</v>
      </c>
    </row>
    <row r="112" spans="1:13" ht="15">
      <c r="A112" s="203">
        <v>16</v>
      </c>
      <c r="B112" s="202" t="s">
        <v>271</v>
      </c>
      <c r="C112" s="203" t="s">
        <v>275</v>
      </c>
      <c r="D112" s="203" t="s">
        <v>268</v>
      </c>
      <c r="E112" s="201"/>
      <c r="F112" s="201">
        <v>5</v>
      </c>
      <c r="G112" s="201"/>
      <c r="H112" s="201"/>
      <c r="I112" s="201"/>
      <c r="J112" s="201"/>
      <c r="K112" s="201"/>
      <c r="L112" s="201"/>
      <c r="M112" s="201"/>
    </row>
    <row r="113" spans="1:13" ht="15">
      <c r="A113" s="203"/>
      <c r="B113" s="202"/>
      <c r="C113" s="201" t="s">
        <v>180</v>
      </c>
      <c r="D113" s="201" t="s">
        <v>19</v>
      </c>
      <c r="E113" s="201">
        <v>1</v>
      </c>
      <c r="F113" s="201">
        <f>E113*F112</f>
        <v>5</v>
      </c>
      <c r="G113" s="201"/>
      <c r="H113" s="201"/>
      <c r="I113" s="201"/>
      <c r="J113" s="201">
        <f t="shared" ref="J113" si="59">I113*F113</f>
        <v>0</v>
      </c>
      <c r="K113" s="201"/>
      <c r="L113" s="201"/>
      <c r="M113" s="201">
        <f t="shared" ref="M113:M117" si="60">L113+J113+H113</f>
        <v>0</v>
      </c>
    </row>
    <row r="114" spans="1:13" ht="15">
      <c r="A114" s="203"/>
      <c r="B114" s="202"/>
      <c r="C114" s="201" t="s">
        <v>36</v>
      </c>
      <c r="D114" s="201" t="s">
        <v>25</v>
      </c>
      <c r="E114" s="201">
        <v>0.14000000000000001</v>
      </c>
      <c r="F114" s="201">
        <f>E114*F112</f>
        <v>0.70000000000000007</v>
      </c>
      <c r="G114" s="201"/>
      <c r="H114" s="201"/>
      <c r="I114" s="201"/>
      <c r="J114" s="201"/>
      <c r="K114" s="201"/>
      <c r="L114" s="204">
        <f t="shared" ref="L114" si="61">K114*F114</f>
        <v>0</v>
      </c>
      <c r="M114" s="204">
        <f t="shared" si="60"/>
        <v>0</v>
      </c>
    </row>
    <row r="115" spans="1:13" ht="15">
      <c r="A115" s="203"/>
      <c r="B115" s="202"/>
      <c r="C115" s="201" t="s">
        <v>273</v>
      </c>
      <c r="D115" s="201" t="s">
        <v>268</v>
      </c>
      <c r="E115" s="201">
        <v>1</v>
      </c>
      <c r="F115" s="201">
        <f>E115*F112</f>
        <v>5</v>
      </c>
      <c r="G115" s="204"/>
      <c r="H115" s="204">
        <f t="shared" ref="H115:H117" si="62">G115*F115</f>
        <v>0</v>
      </c>
      <c r="I115" s="201"/>
      <c r="J115" s="201"/>
      <c r="K115" s="201"/>
      <c r="L115" s="201"/>
      <c r="M115" s="204">
        <f t="shared" si="60"/>
        <v>0</v>
      </c>
    </row>
    <row r="116" spans="1:13" ht="15">
      <c r="A116" s="203"/>
      <c r="B116" s="202"/>
      <c r="C116" s="201" t="s">
        <v>274</v>
      </c>
      <c r="D116" s="201" t="s">
        <v>19</v>
      </c>
      <c r="E116" s="201"/>
      <c r="F116" s="201">
        <f>F112</f>
        <v>5</v>
      </c>
      <c r="G116" s="201"/>
      <c r="H116" s="204">
        <f t="shared" si="62"/>
        <v>0</v>
      </c>
      <c r="I116" s="201"/>
      <c r="J116" s="201"/>
      <c r="K116" s="201"/>
      <c r="L116" s="201"/>
      <c r="M116" s="204">
        <f t="shared" si="60"/>
        <v>0</v>
      </c>
    </row>
    <row r="117" spans="1:13" ht="15">
      <c r="A117" s="203"/>
      <c r="B117" s="202"/>
      <c r="C117" s="201" t="s">
        <v>21</v>
      </c>
      <c r="D117" s="201" t="s">
        <v>25</v>
      </c>
      <c r="E117" s="201">
        <v>0.04</v>
      </c>
      <c r="F117" s="201">
        <f>E117*F112</f>
        <v>0.2</v>
      </c>
      <c r="G117" s="201"/>
      <c r="H117" s="204">
        <f t="shared" si="62"/>
        <v>0</v>
      </c>
      <c r="I117" s="201"/>
      <c r="J117" s="201"/>
      <c r="K117" s="201"/>
      <c r="L117" s="201"/>
      <c r="M117" s="204">
        <f t="shared" si="60"/>
        <v>0</v>
      </c>
    </row>
    <row r="118" spans="1:13" ht="15">
      <c r="A118" s="203">
        <v>17</v>
      </c>
      <c r="B118" s="202" t="s">
        <v>271</v>
      </c>
      <c r="C118" s="203" t="s">
        <v>276</v>
      </c>
      <c r="D118" s="203" t="s">
        <v>268</v>
      </c>
      <c r="E118" s="201"/>
      <c r="F118" s="201">
        <f>55+4+11+1</f>
        <v>71</v>
      </c>
      <c r="G118" s="201"/>
      <c r="H118" s="201"/>
      <c r="I118" s="201"/>
      <c r="J118" s="201"/>
      <c r="K118" s="201"/>
      <c r="L118" s="201"/>
      <c r="M118" s="201"/>
    </row>
    <row r="119" spans="1:13" ht="15">
      <c r="A119" s="203"/>
      <c r="B119" s="202"/>
      <c r="C119" s="201" t="s">
        <v>180</v>
      </c>
      <c r="D119" s="201" t="s">
        <v>19</v>
      </c>
      <c r="E119" s="201">
        <v>1</v>
      </c>
      <c r="F119" s="201">
        <f>E119*F118</f>
        <v>71</v>
      </c>
      <c r="G119" s="201"/>
      <c r="H119" s="201"/>
      <c r="I119" s="201"/>
      <c r="J119" s="201">
        <f t="shared" ref="J119" si="63">I119*F119</f>
        <v>0</v>
      </c>
      <c r="K119" s="201"/>
      <c r="L119" s="201"/>
      <c r="M119" s="201">
        <f t="shared" ref="M119:M124" si="64">L119+J119+H119</f>
        <v>0</v>
      </c>
    </row>
    <row r="120" spans="1:13" ht="15">
      <c r="A120" s="203"/>
      <c r="B120" s="202"/>
      <c r="C120" s="201" t="s">
        <v>36</v>
      </c>
      <c r="D120" s="201" t="s">
        <v>25</v>
      </c>
      <c r="E120" s="201">
        <v>0.14000000000000001</v>
      </c>
      <c r="F120" s="201">
        <f>E120*F118</f>
        <v>9.9400000000000013</v>
      </c>
      <c r="G120" s="201"/>
      <c r="H120" s="201"/>
      <c r="I120" s="201"/>
      <c r="J120" s="201"/>
      <c r="K120" s="201"/>
      <c r="L120" s="204">
        <f t="shared" ref="L120" si="65">K120*F120</f>
        <v>0</v>
      </c>
      <c r="M120" s="204">
        <f t="shared" si="64"/>
        <v>0</v>
      </c>
    </row>
    <row r="121" spans="1:13" ht="15">
      <c r="A121" s="203"/>
      <c r="B121" s="202"/>
      <c r="C121" s="201" t="s">
        <v>277</v>
      </c>
      <c r="D121" s="201" t="s">
        <v>268</v>
      </c>
      <c r="E121" s="201"/>
      <c r="F121" s="201">
        <f>55+11</f>
        <v>66</v>
      </c>
      <c r="G121" s="204"/>
      <c r="H121" s="204">
        <f t="shared" ref="H121:H124" si="66">G121*F121</f>
        <v>0</v>
      </c>
      <c r="I121" s="201"/>
      <c r="J121" s="201"/>
      <c r="K121" s="201"/>
      <c r="L121" s="201"/>
      <c r="M121" s="204">
        <f t="shared" si="64"/>
        <v>0</v>
      </c>
    </row>
    <row r="122" spans="1:13" ht="15">
      <c r="A122" s="203"/>
      <c r="B122" s="202"/>
      <c r="C122" s="201" t="s">
        <v>278</v>
      </c>
      <c r="D122" s="201" t="s">
        <v>268</v>
      </c>
      <c r="E122" s="201"/>
      <c r="F122" s="201">
        <v>5</v>
      </c>
      <c r="G122" s="204"/>
      <c r="H122" s="204">
        <f t="shared" si="66"/>
        <v>0</v>
      </c>
      <c r="I122" s="201"/>
      <c r="J122" s="201"/>
      <c r="K122" s="201"/>
      <c r="L122" s="201"/>
      <c r="M122" s="204">
        <f t="shared" si="64"/>
        <v>0</v>
      </c>
    </row>
    <row r="123" spans="1:13" ht="15">
      <c r="A123" s="203"/>
      <c r="B123" s="202"/>
      <c r="C123" s="201" t="s">
        <v>274</v>
      </c>
      <c r="D123" s="201" t="s">
        <v>19</v>
      </c>
      <c r="E123" s="201"/>
      <c r="F123" s="201">
        <f>F118</f>
        <v>71</v>
      </c>
      <c r="G123" s="201"/>
      <c r="H123" s="204">
        <f t="shared" si="66"/>
        <v>0</v>
      </c>
      <c r="I123" s="201"/>
      <c r="J123" s="201"/>
      <c r="K123" s="201"/>
      <c r="L123" s="201"/>
      <c r="M123" s="204">
        <f t="shared" si="64"/>
        <v>0</v>
      </c>
    </row>
    <row r="124" spans="1:13" ht="15">
      <c r="A124" s="203"/>
      <c r="B124" s="202"/>
      <c r="C124" s="201" t="s">
        <v>21</v>
      </c>
      <c r="D124" s="201" t="s">
        <v>25</v>
      </c>
      <c r="E124" s="201">
        <v>0.04</v>
      </c>
      <c r="F124" s="201">
        <f>E124*F118</f>
        <v>2.84</v>
      </c>
      <c r="G124" s="201"/>
      <c r="H124" s="204">
        <f t="shared" si="66"/>
        <v>0</v>
      </c>
      <c r="I124" s="201"/>
      <c r="J124" s="201"/>
      <c r="K124" s="201"/>
      <c r="L124" s="201"/>
      <c r="M124" s="204">
        <f t="shared" si="64"/>
        <v>0</v>
      </c>
    </row>
    <row r="125" spans="1:13" ht="15">
      <c r="A125" s="203">
        <v>17</v>
      </c>
      <c r="B125" s="202" t="s">
        <v>271</v>
      </c>
      <c r="C125" s="203" t="s">
        <v>279</v>
      </c>
      <c r="D125" s="203" t="s">
        <v>268</v>
      </c>
      <c r="E125" s="201"/>
      <c r="F125" s="201">
        <v>4</v>
      </c>
      <c r="G125" s="201"/>
      <c r="H125" s="201"/>
      <c r="I125" s="201"/>
      <c r="J125" s="201"/>
      <c r="K125" s="201"/>
      <c r="L125" s="201"/>
      <c r="M125" s="201"/>
    </row>
    <row r="126" spans="1:13" ht="15">
      <c r="A126" s="203"/>
      <c r="B126" s="202"/>
      <c r="C126" s="201" t="s">
        <v>180</v>
      </c>
      <c r="D126" s="201" t="s">
        <v>19</v>
      </c>
      <c r="E126" s="201">
        <v>1</v>
      </c>
      <c r="F126" s="201">
        <f>E126*F125</f>
        <v>4</v>
      </c>
      <c r="G126" s="201"/>
      <c r="H126" s="201"/>
      <c r="I126" s="201"/>
      <c r="J126" s="201">
        <f t="shared" ref="J126" si="67">I126*F126</f>
        <v>0</v>
      </c>
      <c r="K126" s="201"/>
      <c r="L126" s="201"/>
      <c r="M126" s="201">
        <f t="shared" ref="M126:M130" si="68">L126+J126+H126</f>
        <v>0</v>
      </c>
    </row>
    <row r="127" spans="1:13" ht="15">
      <c r="A127" s="203"/>
      <c r="B127" s="202"/>
      <c r="C127" s="201" t="s">
        <v>36</v>
      </c>
      <c r="D127" s="201" t="s">
        <v>25</v>
      </c>
      <c r="E127" s="201">
        <v>0.14000000000000001</v>
      </c>
      <c r="F127" s="201">
        <f>E127*F125</f>
        <v>0.56000000000000005</v>
      </c>
      <c r="G127" s="201"/>
      <c r="H127" s="201"/>
      <c r="I127" s="201"/>
      <c r="J127" s="201"/>
      <c r="K127" s="201"/>
      <c r="L127" s="204">
        <f t="shared" ref="L127" si="69">K127*F127</f>
        <v>0</v>
      </c>
      <c r="M127" s="204">
        <f t="shared" si="68"/>
        <v>0</v>
      </c>
    </row>
    <row r="128" spans="1:13" ht="15">
      <c r="A128" s="203"/>
      <c r="B128" s="202"/>
      <c r="C128" s="201" t="s">
        <v>280</v>
      </c>
      <c r="D128" s="201" t="s">
        <v>268</v>
      </c>
      <c r="E128" s="201"/>
      <c r="F128" s="201">
        <v>4</v>
      </c>
      <c r="G128" s="204"/>
      <c r="H128" s="204">
        <f t="shared" ref="H128:H130" si="70">G128*F128</f>
        <v>0</v>
      </c>
      <c r="I128" s="201"/>
      <c r="J128" s="201"/>
      <c r="K128" s="201"/>
      <c r="L128" s="201"/>
      <c r="M128" s="204">
        <f t="shared" si="68"/>
        <v>0</v>
      </c>
    </row>
    <row r="129" spans="1:13" ht="15">
      <c r="A129" s="203"/>
      <c r="B129" s="202"/>
      <c r="C129" s="201" t="s">
        <v>274</v>
      </c>
      <c r="D129" s="201" t="s">
        <v>19</v>
      </c>
      <c r="E129" s="201"/>
      <c r="F129" s="201">
        <f>F125</f>
        <v>4</v>
      </c>
      <c r="G129" s="201"/>
      <c r="H129" s="204">
        <f t="shared" si="70"/>
        <v>0</v>
      </c>
      <c r="I129" s="201"/>
      <c r="J129" s="201"/>
      <c r="K129" s="201"/>
      <c r="L129" s="201"/>
      <c r="M129" s="204">
        <f t="shared" si="68"/>
        <v>0</v>
      </c>
    </row>
    <row r="130" spans="1:13" ht="15">
      <c r="A130" s="203"/>
      <c r="B130" s="202"/>
      <c r="C130" s="201" t="s">
        <v>21</v>
      </c>
      <c r="D130" s="201" t="s">
        <v>25</v>
      </c>
      <c r="E130" s="201">
        <v>0.04</v>
      </c>
      <c r="F130" s="201">
        <f>E130*F125</f>
        <v>0.16</v>
      </c>
      <c r="G130" s="201"/>
      <c r="H130" s="204">
        <f t="shared" si="70"/>
        <v>0</v>
      </c>
      <c r="I130" s="201"/>
      <c r="J130" s="201"/>
      <c r="K130" s="201"/>
      <c r="L130" s="201"/>
      <c r="M130" s="204">
        <f t="shared" si="68"/>
        <v>0</v>
      </c>
    </row>
    <row r="131" spans="1:13" ht="15">
      <c r="A131" s="203">
        <v>18</v>
      </c>
      <c r="B131" s="202" t="s">
        <v>281</v>
      </c>
      <c r="C131" s="203" t="s">
        <v>282</v>
      </c>
      <c r="D131" s="203" t="s">
        <v>19</v>
      </c>
      <c r="E131" s="201"/>
      <c r="F131" s="201">
        <v>12</v>
      </c>
      <c r="G131" s="201"/>
      <c r="H131" s="201"/>
      <c r="I131" s="201"/>
      <c r="J131" s="201"/>
      <c r="K131" s="201"/>
      <c r="L131" s="201"/>
      <c r="M131" s="201"/>
    </row>
    <row r="132" spans="1:13" ht="15">
      <c r="A132" s="203"/>
      <c r="B132" s="202"/>
      <c r="C132" s="201" t="s">
        <v>180</v>
      </c>
      <c r="D132" s="201" t="s">
        <v>19</v>
      </c>
      <c r="E132" s="201">
        <v>1</v>
      </c>
      <c r="F132" s="201">
        <f>E132*F131</f>
        <v>12</v>
      </c>
      <c r="G132" s="201"/>
      <c r="H132" s="201"/>
      <c r="I132" s="201"/>
      <c r="J132" s="201">
        <f t="shared" ref="J132" si="71">I132*F132</f>
        <v>0</v>
      </c>
      <c r="K132" s="201"/>
      <c r="L132" s="201"/>
      <c r="M132" s="201">
        <f t="shared" ref="M132:M136" si="72">L132+J132+H132</f>
        <v>0</v>
      </c>
    </row>
    <row r="133" spans="1:13" ht="15">
      <c r="A133" s="203"/>
      <c r="B133" s="202"/>
      <c r="C133" s="201" t="s">
        <v>36</v>
      </c>
      <c r="D133" s="201" t="s">
        <v>25</v>
      </c>
      <c r="E133" s="201">
        <v>0.02</v>
      </c>
      <c r="F133" s="201">
        <f>E133*F131</f>
        <v>0.24</v>
      </c>
      <c r="G133" s="201"/>
      <c r="H133" s="201"/>
      <c r="I133" s="201"/>
      <c r="J133" s="201"/>
      <c r="K133" s="201"/>
      <c r="L133" s="204">
        <f t="shared" ref="L133" si="73">K133*F133</f>
        <v>0</v>
      </c>
      <c r="M133" s="204">
        <f t="shared" si="72"/>
        <v>0</v>
      </c>
    </row>
    <row r="134" spans="1:13" ht="15">
      <c r="A134" s="203"/>
      <c r="B134" s="202"/>
      <c r="C134" s="201" t="s">
        <v>283</v>
      </c>
      <c r="D134" s="201" t="s">
        <v>268</v>
      </c>
      <c r="E134" s="201"/>
      <c r="F134" s="201">
        <v>9</v>
      </c>
      <c r="G134" s="204"/>
      <c r="H134" s="204">
        <f t="shared" ref="H134:H136" si="74">G134*F134</f>
        <v>0</v>
      </c>
      <c r="I134" s="201"/>
      <c r="J134" s="201"/>
      <c r="K134" s="201"/>
      <c r="L134" s="201"/>
      <c r="M134" s="204">
        <f t="shared" si="72"/>
        <v>0</v>
      </c>
    </row>
    <row r="135" spans="1:13" ht="15">
      <c r="A135" s="203"/>
      <c r="B135" s="202"/>
      <c r="C135" s="201" t="s">
        <v>284</v>
      </c>
      <c r="D135" s="201" t="s">
        <v>268</v>
      </c>
      <c r="E135" s="201"/>
      <c r="F135" s="201">
        <v>3</v>
      </c>
      <c r="G135" s="204"/>
      <c r="H135" s="204">
        <f t="shared" si="74"/>
        <v>0</v>
      </c>
      <c r="I135" s="201"/>
      <c r="J135" s="201"/>
      <c r="K135" s="201"/>
      <c r="L135" s="201"/>
      <c r="M135" s="204">
        <f t="shared" si="72"/>
        <v>0</v>
      </c>
    </row>
    <row r="136" spans="1:13" ht="15">
      <c r="A136" s="203"/>
      <c r="B136" s="202"/>
      <c r="C136" s="201" t="s">
        <v>21</v>
      </c>
      <c r="D136" s="201" t="s">
        <v>25</v>
      </c>
      <c r="E136" s="201">
        <v>0.11</v>
      </c>
      <c r="F136" s="201">
        <f>E136*F131</f>
        <v>1.32</v>
      </c>
      <c r="G136" s="201"/>
      <c r="H136" s="204">
        <f t="shared" si="74"/>
        <v>0</v>
      </c>
      <c r="I136" s="201"/>
      <c r="J136" s="201"/>
      <c r="K136" s="201"/>
      <c r="L136" s="201"/>
      <c r="M136" s="204">
        <f t="shared" si="72"/>
        <v>0</v>
      </c>
    </row>
    <row r="137" spans="1:13" ht="15">
      <c r="A137" s="203">
        <v>19</v>
      </c>
      <c r="B137" s="202" t="s">
        <v>285</v>
      </c>
      <c r="C137" s="203" t="s">
        <v>286</v>
      </c>
      <c r="D137" s="203" t="s">
        <v>19</v>
      </c>
      <c r="E137" s="201"/>
      <c r="F137" s="201">
        <v>15</v>
      </c>
      <c r="G137" s="201"/>
      <c r="H137" s="201"/>
      <c r="I137" s="201"/>
      <c r="J137" s="201"/>
      <c r="K137" s="201"/>
      <c r="L137" s="201"/>
      <c r="M137" s="201"/>
    </row>
    <row r="138" spans="1:13" ht="15">
      <c r="A138" s="203"/>
      <c r="B138" s="202"/>
      <c r="C138" s="201" t="s">
        <v>180</v>
      </c>
      <c r="D138" s="201" t="s">
        <v>19</v>
      </c>
      <c r="E138" s="201">
        <v>1</v>
      </c>
      <c r="F138" s="201">
        <f>E138*F137</f>
        <v>15</v>
      </c>
      <c r="G138" s="201"/>
      <c r="H138" s="201"/>
      <c r="I138" s="201"/>
      <c r="J138" s="201">
        <f t="shared" ref="J138" si="75">I138*F138</f>
        <v>0</v>
      </c>
      <c r="K138" s="201"/>
      <c r="L138" s="201"/>
      <c r="M138" s="201">
        <f t="shared" ref="M138:M141" si="76">L138+J138+H138</f>
        <v>0</v>
      </c>
    </row>
    <row r="139" spans="1:13" ht="15">
      <c r="A139" s="203"/>
      <c r="B139" s="202"/>
      <c r="C139" s="201" t="s">
        <v>36</v>
      </c>
      <c r="D139" s="201" t="s">
        <v>25</v>
      </c>
      <c r="E139" s="201">
        <v>0.02</v>
      </c>
      <c r="F139" s="201">
        <f>E139*F137</f>
        <v>0.3</v>
      </c>
      <c r="G139" s="201"/>
      <c r="H139" s="201"/>
      <c r="I139" s="201"/>
      <c r="J139" s="201"/>
      <c r="K139" s="201"/>
      <c r="L139" s="204">
        <f t="shared" ref="L139" si="77">K139*F139</f>
        <v>0</v>
      </c>
      <c r="M139" s="204">
        <f t="shared" si="76"/>
        <v>0</v>
      </c>
    </row>
    <row r="140" spans="1:13" ht="15">
      <c r="A140" s="203"/>
      <c r="B140" s="202"/>
      <c r="C140" s="201" t="s">
        <v>287</v>
      </c>
      <c r="D140" s="201" t="s">
        <v>268</v>
      </c>
      <c r="E140" s="201"/>
      <c r="F140" s="201">
        <f>F137</f>
        <v>15</v>
      </c>
      <c r="G140" s="204"/>
      <c r="H140" s="204">
        <f t="shared" ref="H140:H141" si="78">G140*F140</f>
        <v>0</v>
      </c>
      <c r="I140" s="201"/>
      <c r="J140" s="201"/>
      <c r="K140" s="201"/>
      <c r="L140" s="201"/>
      <c r="M140" s="204">
        <f t="shared" si="76"/>
        <v>0</v>
      </c>
    </row>
    <row r="141" spans="1:13" ht="15">
      <c r="A141" s="203"/>
      <c r="B141" s="202"/>
      <c r="C141" s="201" t="s">
        <v>21</v>
      </c>
      <c r="D141" s="201" t="s">
        <v>25</v>
      </c>
      <c r="E141" s="201">
        <v>0.11</v>
      </c>
      <c r="F141" s="201">
        <f>E141*F137</f>
        <v>1.65</v>
      </c>
      <c r="G141" s="201"/>
      <c r="H141" s="204">
        <f t="shared" si="78"/>
        <v>0</v>
      </c>
      <c r="I141" s="201"/>
      <c r="J141" s="201"/>
      <c r="K141" s="201"/>
      <c r="L141" s="201"/>
      <c r="M141" s="204">
        <f t="shared" si="76"/>
        <v>0</v>
      </c>
    </row>
    <row r="142" spans="1:13" ht="18">
      <c r="A142" s="203"/>
      <c r="B142" s="202"/>
      <c r="C142" s="206" t="s">
        <v>288</v>
      </c>
      <c r="D142" s="201"/>
      <c r="E142" s="201"/>
      <c r="F142" s="201"/>
      <c r="G142" s="201"/>
      <c r="H142" s="204"/>
      <c r="I142" s="201"/>
      <c r="J142" s="201"/>
      <c r="K142" s="201"/>
      <c r="L142" s="201"/>
      <c r="M142" s="204"/>
    </row>
    <row r="143" spans="1:13" ht="30">
      <c r="A143" s="203">
        <v>20</v>
      </c>
      <c r="B143" s="202" t="s">
        <v>289</v>
      </c>
      <c r="C143" s="203" t="s">
        <v>290</v>
      </c>
      <c r="D143" s="203" t="s">
        <v>19</v>
      </c>
      <c r="E143" s="201"/>
      <c r="F143" s="201">
        <v>1</v>
      </c>
      <c r="G143" s="201"/>
      <c r="H143" s="201"/>
      <c r="I143" s="201"/>
      <c r="J143" s="201"/>
      <c r="K143" s="201"/>
      <c r="L143" s="201"/>
      <c r="M143" s="201"/>
    </row>
    <row r="144" spans="1:13" ht="15">
      <c r="A144" s="203"/>
      <c r="B144" s="202"/>
      <c r="C144" s="201" t="s">
        <v>180</v>
      </c>
      <c r="D144" s="201" t="s">
        <v>19</v>
      </c>
      <c r="E144" s="201">
        <v>1</v>
      </c>
      <c r="F144" s="201">
        <f>E144*F143</f>
        <v>1</v>
      </c>
      <c r="G144" s="201"/>
      <c r="H144" s="201"/>
      <c r="I144" s="201"/>
      <c r="J144" s="201">
        <f t="shared" ref="J144" si="79">I144*F144</f>
        <v>0</v>
      </c>
      <c r="K144" s="201"/>
      <c r="L144" s="201"/>
      <c r="M144" s="201">
        <f t="shared" ref="M144:M147" si="80">L144+J144+H144</f>
        <v>0</v>
      </c>
    </row>
    <row r="145" spans="1:13" ht="15">
      <c r="A145" s="203"/>
      <c r="B145" s="202"/>
      <c r="C145" s="201" t="s">
        <v>36</v>
      </c>
      <c r="D145" s="201" t="s">
        <v>25</v>
      </c>
      <c r="E145" s="201">
        <v>0.39</v>
      </c>
      <c r="F145" s="201">
        <f>E145*F143</f>
        <v>0.39</v>
      </c>
      <c r="G145" s="201"/>
      <c r="H145" s="201"/>
      <c r="I145" s="201"/>
      <c r="J145" s="201"/>
      <c r="K145" s="201"/>
      <c r="L145" s="204">
        <f t="shared" ref="L145" si="81">K145*F145</f>
        <v>0</v>
      </c>
      <c r="M145" s="204">
        <f t="shared" si="80"/>
        <v>0</v>
      </c>
    </row>
    <row r="146" spans="1:13" ht="30">
      <c r="A146" s="203"/>
      <c r="B146" s="202"/>
      <c r="C146" s="201" t="s">
        <v>290</v>
      </c>
      <c r="D146" s="201" t="s">
        <v>268</v>
      </c>
      <c r="E146" s="201"/>
      <c r="F146" s="201">
        <f>F143</f>
        <v>1</v>
      </c>
      <c r="G146" s="204"/>
      <c r="H146" s="204">
        <f t="shared" ref="H146:H147" si="82">G146*F146</f>
        <v>0</v>
      </c>
      <c r="I146" s="201"/>
      <c r="J146" s="201"/>
      <c r="K146" s="201"/>
      <c r="L146" s="201"/>
      <c r="M146" s="204">
        <f t="shared" si="80"/>
        <v>0</v>
      </c>
    </row>
    <row r="147" spans="1:13" ht="15">
      <c r="A147" s="203"/>
      <c r="B147" s="202"/>
      <c r="C147" s="201" t="s">
        <v>21</v>
      </c>
      <c r="D147" s="201" t="s">
        <v>25</v>
      </c>
      <c r="E147" s="201">
        <v>1.58</v>
      </c>
      <c r="F147" s="201">
        <f>E147*F143</f>
        <v>1.58</v>
      </c>
      <c r="G147" s="201"/>
      <c r="H147" s="204">
        <f t="shared" si="82"/>
        <v>0</v>
      </c>
      <c r="I147" s="201"/>
      <c r="J147" s="201"/>
      <c r="K147" s="201"/>
      <c r="L147" s="201"/>
      <c r="M147" s="204">
        <f t="shared" si="80"/>
        <v>0</v>
      </c>
    </row>
    <row r="148" spans="1:13" ht="30">
      <c r="A148" s="203">
        <v>21</v>
      </c>
      <c r="B148" s="202" t="s">
        <v>289</v>
      </c>
      <c r="C148" s="203" t="s">
        <v>291</v>
      </c>
      <c r="D148" s="203" t="s">
        <v>19</v>
      </c>
      <c r="E148" s="201"/>
      <c r="F148" s="201">
        <v>1</v>
      </c>
      <c r="G148" s="201"/>
      <c r="H148" s="201"/>
      <c r="I148" s="201"/>
      <c r="J148" s="201"/>
      <c r="K148" s="201"/>
      <c r="L148" s="201"/>
      <c r="M148" s="201"/>
    </row>
    <row r="149" spans="1:13" ht="15">
      <c r="A149" s="203"/>
      <c r="B149" s="202"/>
      <c r="C149" s="201" t="s">
        <v>180</v>
      </c>
      <c r="D149" s="201" t="s">
        <v>19</v>
      </c>
      <c r="E149" s="201">
        <v>1</v>
      </c>
      <c r="F149" s="201">
        <f>E149*F148</f>
        <v>1</v>
      </c>
      <c r="G149" s="201"/>
      <c r="H149" s="201"/>
      <c r="I149" s="201"/>
      <c r="J149" s="201">
        <f t="shared" ref="J149" si="83">I149*F149</f>
        <v>0</v>
      </c>
      <c r="K149" s="201"/>
      <c r="L149" s="201"/>
      <c r="M149" s="201">
        <f t="shared" ref="M149:M152" si="84">L149+J149+H149</f>
        <v>0</v>
      </c>
    </row>
    <row r="150" spans="1:13" ht="15">
      <c r="A150" s="203"/>
      <c r="B150" s="202"/>
      <c r="C150" s="201" t="s">
        <v>36</v>
      </c>
      <c r="D150" s="201" t="s">
        <v>25</v>
      </c>
      <c r="E150" s="201">
        <v>0.39</v>
      </c>
      <c r="F150" s="201">
        <f>E150*F148</f>
        <v>0.39</v>
      </c>
      <c r="G150" s="201"/>
      <c r="H150" s="201"/>
      <c r="I150" s="201"/>
      <c r="J150" s="201"/>
      <c r="K150" s="201"/>
      <c r="L150" s="204">
        <f t="shared" ref="L150" si="85">K150*F150</f>
        <v>0</v>
      </c>
      <c r="M150" s="204">
        <f t="shared" si="84"/>
        <v>0</v>
      </c>
    </row>
    <row r="151" spans="1:13" ht="30">
      <c r="A151" s="203"/>
      <c r="B151" s="202"/>
      <c r="C151" s="201" t="s">
        <v>290</v>
      </c>
      <c r="D151" s="201" t="s">
        <v>268</v>
      </c>
      <c r="E151" s="201"/>
      <c r="F151" s="201">
        <f>F148</f>
        <v>1</v>
      </c>
      <c r="G151" s="204"/>
      <c r="H151" s="204">
        <f t="shared" ref="H151:H152" si="86">G151*F151</f>
        <v>0</v>
      </c>
      <c r="I151" s="201"/>
      <c r="J151" s="201"/>
      <c r="K151" s="201"/>
      <c r="L151" s="201"/>
      <c r="M151" s="204">
        <f t="shared" si="84"/>
        <v>0</v>
      </c>
    </row>
    <row r="152" spans="1:13" ht="15">
      <c r="A152" s="203"/>
      <c r="B152" s="202"/>
      <c r="C152" s="201" t="s">
        <v>21</v>
      </c>
      <c r="D152" s="201" t="s">
        <v>25</v>
      </c>
      <c r="E152" s="201">
        <v>1.58</v>
      </c>
      <c r="F152" s="201">
        <f>E152*F148</f>
        <v>1.58</v>
      </c>
      <c r="G152" s="201"/>
      <c r="H152" s="204">
        <f t="shared" si="86"/>
        <v>0</v>
      </c>
      <c r="I152" s="201"/>
      <c r="J152" s="201"/>
      <c r="K152" s="201"/>
      <c r="L152" s="201"/>
      <c r="M152" s="204">
        <f t="shared" si="84"/>
        <v>0</v>
      </c>
    </row>
    <row r="153" spans="1:13" ht="45">
      <c r="A153" s="203">
        <v>22</v>
      </c>
      <c r="B153" s="202" t="s">
        <v>292</v>
      </c>
      <c r="C153" s="207" t="s">
        <v>293</v>
      </c>
      <c r="D153" s="203" t="s">
        <v>19</v>
      </c>
      <c r="E153" s="201"/>
      <c r="F153" s="201">
        <v>1</v>
      </c>
      <c r="G153" s="201"/>
      <c r="H153" s="201"/>
      <c r="I153" s="201"/>
      <c r="J153" s="201"/>
      <c r="K153" s="201"/>
      <c r="L153" s="201"/>
      <c r="M153" s="201"/>
    </row>
    <row r="154" spans="1:13" ht="15">
      <c r="A154" s="203"/>
      <c r="B154" s="202"/>
      <c r="C154" s="201" t="s">
        <v>180</v>
      </c>
      <c r="D154" s="201" t="s">
        <v>19</v>
      </c>
      <c r="E154" s="201">
        <v>1</v>
      </c>
      <c r="F154" s="201">
        <f>E154*F153</f>
        <v>1</v>
      </c>
      <c r="G154" s="201"/>
      <c r="H154" s="201"/>
      <c r="I154" s="201"/>
      <c r="J154" s="201">
        <f t="shared" ref="J154" si="87">I154*F154</f>
        <v>0</v>
      </c>
      <c r="K154" s="201"/>
      <c r="L154" s="201"/>
      <c r="M154" s="201">
        <f t="shared" ref="M154:M158" si="88">L154+J154+H154</f>
        <v>0</v>
      </c>
    </row>
    <row r="155" spans="1:13" ht="15">
      <c r="A155" s="203"/>
      <c r="B155" s="202"/>
      <c r="C155" s="201" t="s">
        <v>36</v>
      </c>
      <c r="D155" s="201" t="s">
        <v>25</v>
      </c>
      <c r="E155" s="201">
        <v>0.22</v>
      </c>
      <c r="F155" s="201">
        <f>E155*F153</f>
        <v>0.22</v>
      </c>
      <c r="G155" s="201"/>
      <c r="H155" s="201"/>
      <c r="I155" s="201"/>
      <c r="J155" s="201"/>
      <c r="K155" s="201"/>
      <c r="L155" s="204">
        <f t="shared" ref="L155" si="89">K155*F155</f>
        <v>0</v>
      </c>
      <c r="M155" s="204">
        <f t="shared" si="88"/>
        <v>0</v>
      </c>
    </row>
    <row r="156" spans="1:13" ht="45">
      <c r="A156" s="203"/>
      <c r="B156" s="202"/>
      <c r="C156" s="201" t="s">
        <v>293</v>
      </c>
      <c r="D156" s="201" t="s">
        <v>268</v>
      </c>
      <c r="E156" s="201"/>
      <c r="F156" s="201">
        <f>F153</f>
        <v>1</v>
      </c>
      <c r="G156" s="204"/>
      <c r="H156" s="204">
        <f t="shared" ref="H156:H157" si="90">G156*F156</f>
        <v>0</v>
      </c>
      <c r="I156" s="201"/>
      <c r="J156" s="201"/>
      <c r="K156" s="201"/>
      <c r="L156" s="201"/>
      <c r="M156" s="204">
        <f t="shared" si="88"/>
        <v>0</v>
      </c>
    </row>
    <row r="157" spans="1:13" ht="15">
      <c r="A157" s="203"/>
      <c r="B157" s="202"/>
      <c r="C157" s="201" t="s">
        <v>21</v>
      </c>
      <c r="D157" s="201" t="s">
        <v>25</v>
      </c>
      <c r="E157" s="201">
        <v>0.22</v>
      </c>
      <c r="F157" s="201">
        <f>E157*F153</f>
        <v>0.22</v>
      </c>
      <c r="G157" s="201"/>
      <c r="H157" s="204">
        <f t="shared" si="90"/>
        <v>0</v>
      </c>
      <c r="I157" s="201"/>
      <c r="J157" s="201"/>
      <c r="K157" s="201"/>
      <c r="L157" s="201"/>
      <c r="M157" s="204">
        <f t="shared" si="88"/>
        <v>0</v>
      </c>
    </row>
    <row r="158" spans="1:13" ht="30">
      <c r="A158" s="203">
        <v>23</v>
      </c>
      <c r="B158" s="202"/>
      <c r="C158" s="203" t="s">
        <v>294</v>
      </c>
      <c r="D158" s="208">
        <v>0.1</v>
      </c>
      <c r="E158" s="201"/>
      <c r="F158" s="201"/>
      <c r="G158" s="201"/>
      <c r="H158" s="209">
        <f>SUM(H7:H157)*0.1</f>
        <v>0</v>
      </c>
      <c r="I158" s="201"/>
      <c r="J158" s="201"/>
      <c r="K158" s="201"/>
      <c r="L158" s="201"/>
      <c r="M158" s="204">
        <f t="shared" si="88"/>
        <v>0</v>
      </c>
    </row>
    <row r="159" spans="1:13" ht="15.75" thickBot="1">
      <c r="A159" s="210"/>
      <c r="B159" s="211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3"/>
    </row>
    <row r="160" spans="1:13" s="220" customFormat="1" ht="15.75" thickBot="1">
      <c r="A160" s="214"/>
      <c r="B160" s="215"/>
      <c r="C160" s="216" t="s">
        <v>60</v>
      </c>
      <c r="D160" s="217"/>
      <c r="E160" s="214"/>
      <c r="F160" s="214"/>
      <c r="G160" s="214"/>
      <c r="H160" s="218">
        <f>SUM(H7:H159)</f>
        <v>0</v>
      </c>
      <c r="I160" s="214"/>
      <c r="J160" s="218">
        <f>SUM(J7:J159)</f>
        <v>0</v>
      </c>
      <c r="K160" s="214"/>
      <c r="L160" s="218">
        <f>SUM(L7:L159)</f>
        <v>0</v>
      </c>
      <c r="M160" s="218">
        <f>SUM(M7:M159)</f>
        <v>0</v>
      </c>
    </row>
    <row r="161" spans="1:13" ht="15.75" thickBot="1">
      <c r="A161" s="221"/>
      <c r="B161" s="222"/>
      <c r="C161" s="223" t="s">
        <v>158</v>
      </c>
      <c r="D161" s="224">
        <v>0</v>
      </c>
      <c r="E161" s="225"/>
      <c r="F161" s="225"/>
      <c r="G161" s="225"/>
      <c r="H161" s="226">
        <f>H160*D161</f>
        <v>0</v>
      </c>
      <c r="I161" s="226"/>
      <c r="J161" s="226"/>
      <c r="K161" s="226"/>
      <c r="L161" s="226"/>
      <c r="M161" s="227">
        <f>H161</f>
        <v>0</v>
      </c>
    </row>
    <row r="162" spans="1:13" ht="15.75" thickBot="1">
      <c r="A162" s="221"/>
      <c r="B162" s="222"/>
      <c r="C162" s="223" t="s">
        <v>60</v>
      </c>
      <c r="D162" s="223"/>
      <c r="E162" s="225"/>
      <c r="F162" s="225"/>
      <c r="G162" s="225"/>
      <c r="H162" s="226"/>
      <c r="I162" s="226"/>
      <c r="J162" s="226"/>
      <c r="K162" s="226"/>
      <c r="L162" s="226"/>
      <c r="M162" s="227">
        <f>M161+M160</f>
        <v>0</v>
      </c>
    </row>
    <row r="163" spans="1:13" ht="15.75" thickBot="1">
      <c r="A163" s="221"/>
      <c r="B163" s="222"/>
      <c r="C163" s="228" t="s">
        <v>61</v>
      </c>
      <c r="D163" s="229">
        <v>0</v>
      </c>
      <c r="E163" s="225"/>
      <c r="F163" s="225"/>
      <c r="G163" s="225"/>
      <c r="H163" s="226"/>
      <c r="I163" s="226"/>
      <c r="J163" s="226"/>
      <c r="K163" s="226"/>
      <c r="L163" s="226"/>
      <c r="M163" s="227">
        <f>M162*D163</f>
        <v>0</v>
      </c>
    </row>
    <row r="164" spans="1:13" ht="15.75" thickBot="1">
      <c r="A164" s="221"/>
      <c r="B164" s="222"/>
      <c r="C164" s="223" t="s">
        <v>60</v>
      </c>
      <c r="D164" s="223"/>
      <c r="E164" s="225"/>
      <c r="F164" s="225"/>
      <c r="G164" s="225"/>
      <c r="H164" s="226"/>
      <c r="I164" s="226"/>
      <c r="J164" s="226"/>
      <c r="K164" s="226"/>
      <c r="L164" s="226"/>
      <c r="M164" s="227">
        <f>M163+M162</f>
        <v>0</v>
      </c>
    </row>
    <row r="165" spans="1:13" ht="15.75" thickBot="1">
      <c r="A165" s="221"/>
      <c r="B165" s="222"/>
      <c r="C165" s="228" t="s">
        <v>62</v>
      </c>
      <c r="D165" s="229">
        <v>0</v>
      </c>
      <c r="E165" s="225"/>
      <c r="F165" s="225"/>
      <c r="G165" s="225"/>
      <c r="H165" s="226"/>
      <c r="I165" s="226"/>
      <c r="J165" s="226"/>
      <c r="K165" s="226"/>
      <c r="L165" s="226"/>
      <c r="M165" s="227">
        <f>M164*D165</f>
        <v>0</v>
      </c>
    </row>
    <row r="166" spans="1:13" ht="15.75" thickBot="1">
      <c r="A166" s="221"/>
      <c r="B166" s="222"/>
      <c r="C166" s="223" t="s">
        <v>60</v>
      </c>
      <c r="D166" s="223"/>
      <c r="E166" s="225"/>
      <c r="F166" s="225"/>
      <c r="G166" s="225"/>
      <c r="H166" s="226"/>
      <c r="I166" s="226"/>
      <c r="J166" s="226"/>
      <c r="K166" s="226"/>
      <c r="L166" s="226"/>
      <c r="M166" s="227">
        <f>M165+M164</f>
        <v>0</v>
      </c>
    </row>
    <row r="167" spans="1:13" ht="15.75" thickBot="1">
      <c r="A167" s="221"/>
      <c r="B167" s="222"/>
      <c r="C167" s="228" t="s">
        <v>159</v>
      </c>
      <c r="D167" s="229">
        <v>0</v>
      </c>
      <c r="E167" s="225"/>
      <c r="F167" s="225"/>
      <c r="G167" s="225"/>
      <c r="H167" s="226"/>
      <c r="I167" s="226"/>
      <c r="J167" s="226"/>
      <c r="K167" s="226"/>
      <c r="L167" s="226"/>
      <c r="M167" s="227">
        <f>M166*D167</f>
        <v>0</v>
      </c>
    </row>
    <row r="168" spans="1:13" ht="15.75" thickBot="1">
      <c r="A168" s="221"/>
      <c r="B168" s="222"/>
      <c r="C168" s="223" t="s">
        <v>60</v>
      </c>
      <c r="D168" s="223"/>
      <c r="E168" s="225"/>
      <c r="F168" s="225"/>
      <c r="G168" s="225"/>
      <c r="H168" s="226"/>
      <c r="I168" s="226"/>
      <c r="J168" s="226"/>
      <c r="K168" s="226"/>
      <c r="L168" s="226"/>
      <c r="M168" s="227">
        <f>M167+M166</f>
        <v>0</v>
      </c>
    </row>
    <row r="169" spans="1:13" ht="15.75" thickBot="1">
      <c r="A169" s="221"/>
      <c r="B169" s="222"/>
      <c r="C169" s="223" t="s">
        <v>63</v>
      </c>
      <c r="D169" s="229">
        <v>0.18</v>
      </c>
      <c r="E169" s="225"/>
      <c r="F169" s="225"/>
      <c r="G169" s="225"/>
      <c r="H169" s="226"/>
      <c r="I169" s="226"/>
      <c r="J169" s="226"/>
      <c r="K169" s="226"/>
      <c r="L169" s="226"/>
      <c r="M169" s="227">
        <f>M168*D169</f>
        <v>0</v>
      </c>
    </row>
    <row r="170" spans="1:13" ht="15.75" thickBot="1">
      <c r="A170" s="230"/>
      <c r="B170" s="231"/>
      <c r="C170" s="232" t="s">
        <v>60</v>
      </c>
      <c r="D170" s="232"/>
      <c r="E170" s="232"/>
      <c r="F170" s="232"/>
      <c r="G170" s="232"/>
      <c r="H170" s="233"/>
      <c r="I170" s="233"/>
      <c r="J170" s="233"/>
      <c r="K170" s="233"/>
      <c r="L170" s="233"/>
      <c r="M170" s="218">
        <f>M169+M168</f>
        <v>0</v>
      </c>
    </row>
    <row r="171" spans="1:13" ht="15">
      <c r="A171" s="196"/>
      <c r="B171" s="197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</row>
    <row r="172" spans="1:13" ht="15">
      <c r="A172" s="196"/>
      <c r="B172" s="197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</row>
    <row r="173" spans="1:13" ht="15">
      <c r="A173" s="196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</row>
    <row r="174" spans="1:13" ht="15">
      <c r="A174" s="196"/>
      <c r="B174" s="197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</row>
    <row r="175" spans="1:13" ht="15">
      <c r="A175" s="196"/>
      <c r="B175" s="197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</row>
    <row r="176" spans="1:13" ht="15">
      <c r="A176" s="196"/>
      <c r="B176" s="197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</row>
    <row r="177" spans="1:13" ht="15">
      <c r="A177" s="196"/>
      <c r="B177" s="197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</row>
    <row r="178" spans="1:13" ht="15">
      <c r="A178" s="196"/>
      <c r="B178" s="197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</row>
    <row r="179" spans="1:13" ht="15">
      <c r="A179" s="196"/>
      <c r="B179" s="197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</row>
    <row r="180" spans="1:13" ht="15">
      <c r="A180" s="196"/>
      <c r="B180" s="197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</row>
    <row r="181" spans="1:13" ht="15">
      <c r="A181" s="196"/>
      <c r="B181" s="197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</row>
    <row r="182" spans="1:13" ht="15">
      <c r="A182" s="196"/>
      <c r="B182" s="197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</row>
    <row r="183" spans="1:13" ht="15">
      <c r="A183" s="196"/>
      <c r="B183" s="197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</row>
    <row r="184" spans="1:13" ht="15">
      <c r="A184" s="196"/>
      <c r="B184" s="197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</row>
    <row r="185" spans="1:13" ht="15">
      <c r="A185" s="196"/>
      <c r="B185" s="197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</row>
    <row r="186" spans="1:13" ht="15">
      <c r="A186" s="196"/>
      <c r="B186" s="197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</row>
    <row r="187" spans="1:13" ht="15">
      <c r="A187" s="196"/>
      <c r="B187" s="197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</row>
    <row r="188" spans="1:13" ht="15">
      <c r="A188" s="196"/>
      <c r="B188" s="197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</row>
    <row r="189" spans="1:13" ht="15">
      <c r="A189" s="196"/>
      <c r="B189" s="197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</row>
    <row r="190" spans="1:13" ht="15">
      <c r="A190" s="196"/>
      <c r="B190" s="197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</row>
    <row r="191" spans="1:13" ht="15">
      <c r="A191" s="196"/>
      <c r="B191" s="197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</row>
    <row r="192" spans="1:13" ht="15">
      <c r="A192" s="196"/>
      <c r="B192" s="197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</row>
    <row r="193" spans="1:13" ht="15">
      <c r="A193" s="196"/>
      <c r="B193" s="197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</row>
    <row r="194" spans="1:13" ht="15">
      <c r="A194" s="196"/>
      <c r="B194" s="197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</row>
    <row r="195" spans="1:13" ht="15">
      <c r="A195" s="196"/>
      <c r="B195" s="197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</row>
    <row r="196" spans="1:13" ht="15">
      <c r="A196" s="196"/>
      <c r="B196" s="197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</row>
    <row r="197" spans="1:13" ht="15">
      <c r="A197" s="196"/>
      <c r="B197" s="19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</row>
    <row r="198" spans="1:13" ht="15">
      <c r="A198" s="196"/>
      <c r="B198" s="197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</row>
    <row r="199" spans="1:13" ht="15">
      <c r="A199" s="196"/>
      <c r="B199" s="197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</row>
    <row r="200" spans="1:13" ht="15">
      <c r="A200" s="196"/>
      <c r="B200" s="197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</row>
    <row r="201" spans="1:13" ht="15">
      <c r="A201" s="196"/>
      <c r="B201" s="197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</row>
    <row r="202" spans="1:13" ht="15">
      <c r="A202" s="196"/>
      <c r="B202" s="197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</row>
    <row r="203" spans="1:13" ht="15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</row>
    <row r="204" spans="1:13" ht="15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</row>
    <row r="205" spans="1:13" ht="15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</row>
    <row r="206" spans="1:13" ht="15">
      <c r="A206" s="196"/>
      <c r="B206" s="197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</row>
    <row r="207" spans="1:13" ht="15">
      <c r="A207" s="196"/>
      <c r="B207" s="197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</row>
    <row r="208" spans="1:13" ht="15">
      <c r="A208" s="196"/>
      <c r="B208" s="197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</row>
    <row r="209" spans="1:13" ht="15">
      <c r="A209" s="196"/>
      <c r="B209" s="197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</row>
    <row r="210" spans="1:13" ht="15">
      <c r="A210" s="196"/>
      <c r="B210" s="197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</row>
    <row r="211" spans="1:13" ht="15">
      <c r="A211" s="196"/>
      <c r="B211" s="197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</row>
    <row r="212" spans="1:13" ht="15">
      <c r="A212" s="196"/>
      <c r="B212" s="197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13" ht="15">
      <c r="A213" s="196"/>
      <c r="B213" s="197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</row>
    <row r="214" spans="1:13" ht="15">
      <c r="A214" s="196"/>
      <c r="B214" s="197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</row>
    <row r="215" spans="1:13" ht="15">
      <c r="A215" s="196"/>
      <c r="B215" s="197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</row>
    <row r="216" spans="1:13" ht="15">
      <c r="A216" s="196"/>
      <c r="B216" s="197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</row>
    <row r="217" spans="1:13" ht="15">
      <c r="A217" s="196"/>
      <c r="B217" s="197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</row>
    <row r="218" spans="1:13" ht="15">
      <c r="A218" s="196"/>
      <c r="B218" s="19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</row>
    <row r="219" spans="1:13" ht="15">
      <c r="A219" s="196"/>
      <c r="B219" s="197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</row>
    <row r="220" spans="1:13" ht="15">
      <c r="A220" s="196"/>
      <c r="B220" s="197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autoFilter ref="A6:M6" xr:uid="{A2F68DE9-F2CD-4AF7-B43B-74CD56B01189}"/>
  <mergeCells count="8">
    <mergeCell ref="K4:L4"/>
    <mergeCell ref="M4:M5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C3F6-0403-4A39-9BDF-C86B702C05C6}">
  <sheetPr>
    <tabColor rgb="FFFFFF00"/>
  </sheetPr>
  <dimension ref="A1:S219"/>
  <sheetViews>
    <sheetView showGridLines="0" workbookViewId="0">
      <selection activeCell="M169" sqref="M169"/>
    </sheetView>
  </sheetViews>
  <sheetFormatPr defaultRowHeight="12.75"/>
  <cols>
    <col min="1" max="1" width="4.140625" style="234" customWidth="1"/>
    <col min="2" max="2" width="9.28515625" style="235" customWidth="1"/>
    <col min="3" max="3" width="39.7109375" style="199" customWidth="1"/>
    <col min="4" max="6" width="8.85546875" style="199"/>
    <col min="7" max="7" width="9.85546875" style="199" customWidth="1"/>
    <col min="8" max="8" width="11.42578125" style="199" bestFit="1" customWidth="1"/>
    <col min="9" max="9" width="10.85546875" style="199" customWidth="1"/>
    <col min="10" max="10" width="8.85546875" style="199"/>
    <col min="11" max="11" width="10.7109375" style="199" customWidth="1"/>
    <col min="12" max="12" width="10.42578125" style="199" bestFit="1" customWidth="1"/>
    <col min="13" max="13" width="10.28515625" style="199" customWidth="1"/>
    <col min="14" max="14" width="11.42578125" style="199" bestFit="1" customWidth="1"/>
    <col min="15" max="256" width="8.85546875" style="199"/>
    <col min="257" max="257" width="4.140625" style="199" customWidth="1"/>
    <col min="258" max="258" width="9.28515625" style="199" customWidth="1"/>
    <col min="259" max="259" width="39.7109375" style="199" customWidth="1"/>
    <col min="260" max="262" width="8.85546875" style="199"/>
    <col min="263" max="263" width="9.85546875" style="199" customWidth="1"/>
    <col min="264" max="264" width="11.42578125" style="199" bestFit="1" customWidth="1"/>
    <col min="265" max="265" width="10.85546875" style="199" customWidth="1"/>
    <col min="266" max="266" width="8.85546875" style="199"/>
    <col min="267" max="267" width="10.7109375" style="199" customWidth="1"/>
    <col min="268" max="268" width="10.42578125" style="199" bestFit="1" customWidth="1"/>
    <col min="269" max="269" width="10.28515625" style="199" customWidth="1"/>
    <col min="270" max="270" width="11.42578125" style="199" bestFit="1" customWidth="1"/>
    <col min="271" max="512" width="8.85546875" style="199"/>
    <col min="513" max="513" width="4.140625" style="199" customWidth="1"/>
    <col min="514" max="514" width="9.28515625" style="199" customWidth="1"/>
    <col min="515" max="515" width="39.7109375" style="199" customWidth="1"/>
    <col min="516" max="518" width="8.85546875" style="199"/>
    <col min="519" max="519" width="9.85546875" style="199" customWidth="1"/>
    <col min="520" max="520" width="11.42578125" style="199" bestFit="1" customWidth="1"/>
    <col min="521" max="521" width="10.85546875" style="199" customWidth="1"/>
    <col min="522" max="522" width="8.85546875" style="199"/>
    <col min="523" max="523" width="10.7109375" style="199" customWidth="1"/>
    <col min="524" max="524" width="10.42578125" style="199" bestFit="1" customWidth="1"/>
    <col min="525" max="525" width="10.28515625" style="199" customWidth="1"/>
    <col min="526" max="526" width="11.42578125" style="199" bestFit="1" customWidth="1"/>
    <col min="527" max="768" width="8.85546875" style="199"/>
    <col min="769" max="769" width="4.140625" style="199" customWidth="1"/>
    <col min="770" max="770" width="9.28515625" style="199" customWidth="1"/>
    <col min="771" max="771" width="39.7109375" style="199" customWidth="1"/>
    <col min="772" max="774" width="8.85546875" style="199"/>
    <col min="775" max="775" width="9.85546875" style="199" customWidth="1"/>
    <col min="776" max="776" width="11.42578125" style="199" bestFit="1" customWidth="1"/>
    <col min="777" max="777" width="10.85546875" style="199" customWidth="1"/>
    <col min="778" max="778" width="8.85546875" style="199"/>
    <col min="779" max="779" width="10.7109375" style="199" customWidth="1"/>
    <col min="780" max="780" width="10.42578125" style="199" bestFit="1" customWidth="1"/>
    <col min="781" max="781" width="10.28515625" style="199" customWidth="1"/>
    <col min="782" max="782" width="11.42578125" style="199" bestFit="1" customWidth="1"/>
    <col min="783" max="1024" width="8.85546875" style="199"/>
    <col min="1025" max="1025" width="4.140625" style="199" customWidth="1"/>
    <col min="1026" max="1026" width="9.28515625" style="199" customWidth="1"/>
    <col min="1027" max="1027" width="39.7109375" style="199" customWidth="1"/>
    <col min="1028" max="1030" width="8.85546875" style="199"/>
    <col min="1031" max="1031" width="9.85546875" style="199" customWidth="1"/>
    <col min="1032" max="1032" width="11.42578125" style="199" bestFit="1" customWidth="1"/>
    <col min="1033" max="1033" width="10.85546875" style="199" customWidth="1"/>
    <col min="1034" max="1034" width="8.85546875" style="199"/>
    <col min="1035" max="1035" width="10.7109375" style="199" customWidth="1"/>
    <col min="1036" max="1036" width="10.42578125" style="199" bestFit="1" customWidth="1"/>
    <col min="1037" max="1037" width="10.28515625" style="199" customWidth="1"/>
    <col min="1038" max="1038" width="11.42578125" style="199" bestFit="1" customWidth="1"/>
    <col min="1039" max="1280" width="8.85546875" style="199"/>
    <col min="1281" max="1281" width="4.140625" style="199" customWidth="1"/>
    <col min="1282" max="1282" width="9.28515625" style="199" customWidth="1"/>
    <col min="1283" max="1283" width="39.7109375" style="199" customWidth="1"/>
    <col min="1284" max="1286" width="8.85546875" style="199"/>
    <col min="1287" max="1287" width="9.85546875" style="199" customWidth="1"/>
    <col min="1288" max="1288" width="11.42578125" style="199" bestFit="1" customWidth="1"/>
    <col min="1289" max="1289" width="10.85546875" style="199" customWidth="1"/>
    <col min="1290" max="1290" width="8.85546875" style="199"/>
    <col min="1291" max="1291" width="10.7109375" style="199" customWidth="1"/>
    <col min="1292" max="1292" width="10.42578125" style="199" bestFit="1" customWidth="1"/>
    <col min="1293" max="1293" width="10.28515625" style="199" customWidth="1"/>
    <col min="1294" max="1294" width="11.42578125" style="199" bestFit="1" customWidth="1"/>
    <col min="1295" max="1536" width="8.85546875" style="199"/>
    <col min="1537" max="1537" width="4.140625" style="199" customWidth="1"/>
    <col min="1538" max="1538" width="9.28515625" style="199" customWidth="1"/>
    <col min="1539" max="1539" width="39.7109375" style="199" customWidth="1"/>
    <col min="1540" max="1542" width="8.85546875" style="199"/>
    <col min="1543" max="1543" width="9.85546875" style="199" customWidth="1"/>
    <col min="1544" max="1544" width="11.42578125" style="199" bestFit="1" customWidth="1"/>
    <col min="1545" max="1545" width="10.85546875" style="199" customWidth="1"/>
    <col min="1546" max="1546" width="8.85546875" style="199"/>
    <col min="1547" max="1547" width="10.7109375" style="199" customWidth="1"/>
    <col min="1548" max="1548" width="10.42578125" style="199" bestFit="1" customWidth="1"/>
    <col min="1549" max="1549" width="10.28515625" style="199" customWidth="1"/>
    <col min="1550" max="1550" width="11.42578125" style="199" bestFit="1" customWidth="1"/>
    <col min="1551" max="1792" width="8.85546875" style="199"/>
    <col min="1793" max="1793" width="4.140625" style="199" customWidth="1"/>
    <col min="1794" max="1794" width="9.28515625" style="199" customWidth="1"/>
    <col min="1795" max="1795" width="39.7109375" style="199" customWidth="1"/>
    <col min="1796" max="1798" width="8.85546875" style="199"/>
    <col min="1799" max="1799" width="9.85546875" style="199" customWidth="1"/>
    <col min="1800" max="1800" width="11.42578125" style="199" bestFit="1" customWidth="1"/>
    <col min="1801" max="1801" width="10.85546875" style="199" customWidth="1"/>
    <col min="1802" max="1802" width="8.85546875" style="199"/>
    <col min="1803" max="1803" width="10.7109375" style="199" customWidth="1"/>
    <col min="1804" max="1804" width="10.42578125" style="199" bestFit="1" customWidth="1"/>
    <col min="1805" max="1805" width="10.28515625" style="199" customWidth="1"/>
    <col min="1806" max="1806" width="11.42578125" style="199" bestFit="1" customWidth="1"/>
    <col min="1807" max="2048" width="8.85546875" style="199"/>
    <col min="2049" max="2049" width="4.140625" style="199" customWidth="1"/>
    <col min="2050" max="2050" width="9.28515625" style="199" customWidth="1"/>
    <col min="2051" max="2051" width="39.7109375" style="199" customWidth="1"/>
    <col min="2052" max="2054" width="8.85546875" style="199"/>
    <col min="2055" max="2055" width="9.85546875" style="199" customWidth="1"/>
    <col min="2056" max="2056" width="11.42578125" style="199" bestFit="1" customWidth="1"/>
    <col min="2057" max="2057" width="10.85546875" style="199" customWidth="1"/>
    <col min="2058" max="2058" width="8.85546875" style="199"/>
    <col min="2059" max="2059" width="10.7109375" style="199" customWidth="1"/>
    <col min="2060" max="2060" width="10.42578125" style="199" bestFit="1" customWidth="1"/>
    <col min="2061" max="2061" width="10.28515625" style="199" customWidth="1"/>
    <col min="2062" max="2062" width="11.42578125" style="199" bestFit="1" customWidth="1"/>
    <col min="2063" max="2304" width="8.85546875" style="199"/>
    <col min="2305" max="2305" width="4.140625" style="199" customWidth="1"/>
    <col min="2306" max="2306" width="9.28515625" style="199" customWidth="1"/>
    <col min="2307" max="2307" width="39.7109375" style="199" customWidth="1"/>
    <col min="2308" max="2310" width="8.85546875" style="199"/>
    <col min="2311" max="2311" width="9.85546875" style="199" customWidth="1"/>
    <col min="2312" max="2312" width="11.42578125" style="199" bestFit="1" customWidth="1"/>
    <col min="2313" max="2313" width="10.85546875" style="199" customWidth="1"/>
    <col min="2314" max="2314" width="8.85546875" style="199"/>
    <col min="2315" max="2315" width="10.7109375" style="199" customWidth="1"/>
    <col min="2316" max="2316" width="10.42578125" style="199" bestFit="1" customWidth="1"/>
    <col min="2317" max="2317" width="10.28515625" style="199" customWidth="1"/>
    <col min="2318" max="2318" width="11.42578125" style="199" bestFit="1" customWidth="1"/>
    <col min="2319" max="2560" width="8.85546875" style="199"/>
    <col min="2561" max="2561" width="4.140625" style="199" customWidth="1"/>
    <col min="2562" max="2562" width="9.28515625" style="199" customWidth="1"/>
    <col min="2563" max="2563" width="39.7109375" style="199" customWidth="1"/>
    <col min="2564" max="2566" width="8.85546875" style="199"/>
    <col min="2567" max="2567" width="9.85546875" style="199" customWidth="1"/>
    <col min="2568" max="2568" width="11.42578125" style="199" bestFit="1" customWidth="1"/>
    <col min="2569" max="2569" width="10.85546875" style="199" customWidth="1"/>
    <col min="2570" max="2570" width="8.85546875" style="199"/>
    <col min="2571" max="2571" width="10.7109375" style="199" customWidth="1"/>
    <col min="2572" max="2572" width="10.42578125" style="199" bestFit="1" customWidth="1"/>
    <col min="2573" max="2573" width="10.28515625" style="199" customWidth="1"/>
    <col min="2574" max="2574" width="11.42578125" style="199" bestFit="1" customWidth="1"/>
    <col min="2575" max="2816" width="8.85546875" style="199"/>
    <col min="2817" max="2817" width="4.140625" style="199" customWidth="1"/>
    <col min="2818" max="2818" width="9.28515625" style="199" customWidth="1"/>
    <col min="2819" max="2819" width="39.7109375" style="199" customWidth="1"/>
    <col min="2820" max="2822" width="8.85546875" style="199"/>
    <col min="2823" max="2823" width="9.85546875" style="199" customWidth="1"/>
    <col min="2824" max="2824" width="11.42578125" style="199" bestFit="1" customWidth="1"/>
    <col min="2825" max="2825" width="10.85546875" style="199" customWidth="1"/>
    <col min="2826" max="2826" width="8.85546875" style="199"/>
    <col min="2827" max="2827" width="10.7109375" style="199" customWidth="1"/>
    <col min="2828" max="2828" width="10.42578125" style="199" bestFit="1" customWidth="1"/>
    <col min="2829" max="2829" width="10.28515625" style="199" customWidth="1"/>
    <col min="2830" max="2830" width="11.42578125" style="199" bestFit="1" customWidth="1"/>
    <col min="2831" max="3072" width="8.85546875" style="199"/>
    <col min="3073" max="3073" width="4.140625" style="199" customWidth="1"/>
    <col min="3074" max="3074" width="9.28515625" style="199" customWidth="1"/>
    <col min="3075" max="3075" width="39.7109375" style="199" customWidth="1"/>
    <col min="3076" max="3078" width="8.85546875" style="199"/>
    <col min="3079" max="3079" width="9.85546875" style="199" customWidth="1"/>
    <col min="3080" max="3080" width="11.42578125" style="199" bestFit="1" customWidth="1"/>
    <col min="3081" max="3081" width="10.85546875" style="199" customWidth="1"/>
    <col min="3082" max="3082" width="8.85546875" style="199"/>
    <col min="3083" max="3083" width="10.7109375" style="199" customWidth="1"/>
    <col min="3084" max="3084" width="10.42578125" style="199" bestFit="1" customWidth="1"/>
    <col min="3085" max="3085" width="10.28515625" style="199" customWidth="1"/>
    <col min="3086" max="3086" width="11.42578125" style="199" bestFit="1" customWidth="1"/>
    <col min="3087" max="3328" width="8.85546875" style="199"/>
    <col min="3329" max="3329" width="4.140625" style="199" customWidth="1"/>
    <col min="3330" max="3330" width="9.28515625" style="199" customWidth="1"/>
    <col min="3331" max="3331" width="39.7109375" style="199" customWidth="1"/>
    <col min="3332" max="3334" width="8.85546875" style="199"/>
    <col min="3335" max="3335" width="9.85546875" style="199" customWidth="1"/>
    <col min="3336" max="3336" width="11.42578125" style="199" bestFit="1" customWidth="1"/>
    <col min="3337" max="3337" width="10.85546875" style="199" customWidth="1"/>
    <col min="3338" max="3338" width="8.85546875" style="199"/>
    <col min="3339" max="3339" width="10.7109375" style="199" customWidth="1"/>
    <col min="3340" max="3340" width="10.42578125" style="199" bestFit="1" customWidth="1"/>
    <col min="3341" max="3341" width="10.28515625" style="199" customWidth="1"/>
    <col min="3342" max="3342" width="11.42578125" style="199" bestFit="1" customWidth="1"/>
    <col min="3343" max="3584" width="8.85546875" style="199"/>
    <col min="3585" max="3585" width="4.140625" style="199" customWidth="1"/>
    <col min="3586" max="3586" width="9.28515625" style="199" customWidth="1"/>
    <col min="3587" max="3587" width="39.7109375" style="199" customWidth="1"/>
    <col min="3588" max="3590" width="8.85546875" style="199"/>
    <col min="3591" max="3591" width="9.85546875" style="199" customWidth="1"/>
    <col min="3592" max="3592" width="11.42578125" style="199" bestFit="1" customWidth="1"/>
    <col min="3593" max="3593" width="10.85546875" style="199" customWidth="1"/>
    <col min="3594" max="3594" width="8.85546875" style="199"/>
    <col min="3595" max="3595" width="10.7109375" style="199" customWidth="1"/>
    <col min="3596" max="3596" width="10.42578125" style="199" bestFit="1" customWidth="1"/>
    <col min="3597" max="3597" width="10.28515625" style="199" customWidth="1"/>
    <col min="3598" max="3598" width="11.42578125" style="199" bestFit="1" customWidth="1"/>
    <col min="3599" max="3840" width="8.85546875" style="199"/>
    <col min="3841" max="3841" width="4.140625" style="199" customWidth="1"/>
    <col min="3842" max="3842" width="9.28515625" style="199" customWidth="1"/>
    <col min="3843" max="3843" width="39.7109375" style="199" customWidth="1"/>
    <col min="3844" max="3846" width="8.85546875" style="199"/>
    <col min="3847" max="3847" width="9.85546875" style="199" customWidth="1"/>
    <col min="3848" max="3848" width="11.42578125" style="199" bestFit="1" customWidth="1"/>
    <col min="3849" max="3849" width="10.85546875" style="199" customWidth="1"/>
    <col min="3850" max="3850" width="8.85546875" style="199"/>
    <col min="3851" max="3851" width="10.7109375" style="199" customWidth="1"/>
    <col min="3852" max="3852" width="10.42578125" style="199" bestFit="1" customWidth="1"/>
    <col min="3853" max="3853" width="10.28515625" style="199" customWidth="1"/>
    <col min="3854" max="3854" width="11.42578125" style="199" bestFit="1" customWidth="1"/>
    <col min="3855" max="4096" width="8.85546875" style="199"/>
    <col min="4097" max="4097" width="4.140625" style="199" customWidth="1"/>
    <col min="4098" max="4098" width="9.28515625" style="199" customWidth="1"/>
    <col min="4099" max="4099" width="39.7109375" style="199" customWidth="1"/>
    <col min="4100" max="4102" width="8.85546875" style="199"/>
    <col min="4103" max="4103" width="9.85546875" style="199" customWidth="1"/>
    <col min="4104" max="4104" width="11.42578125" style="199" bestFit="1" customWidth="1"/>
    <col min="4105" max="4105" width="10.85546875" style="199" customWidth="1"/>
    <col min="4106" max="4106" width="8.85546875" style="199"/>
    <col min="4107" max="4107" width="10.7109375" style="199" customWidth="1"/>
    <col min="4108" max="4108" width="10.42578125" style="199" bestFit="1" customWidth="1"/>
    <col min="4109" max="4109" width="10.28515625" style="199" customWidth="1"/>
    <col min="4110" max="4110" width="11.42578125" style="199" bestFit="1" customWidth="1"/>
    <col min="4111" max="4352" width="8.85546875" style="199"/>
    <col min="4353" max="4353" width="4.140625" style="199" customWidth="1"/>
    <col min="4354" max="4354" width="9.28515625" style="199" customWidth="1"/>
    <col min="4355" max="4355" width="39.7109375" style="199" customWidth="1"/>
    <col min="4356" max="4358" width="8.85546875" style="199"/>
    <col min="4359" max="4359" width="9.85546875" style="199" customWidth="1"/>
    <col min="4360" max="4360" width="11.42578125" style="199" bestFit="1" customWidth="1"/>
    <col min="4361" max="4361" width="10.85546875" style="199" customWidth="1"/>
    <col min="4362" max="4362" width="8.85546875" style="199"/>
    <col min="4363" max="4363" width="10.7109375" style="199" customWidth="1"/>
    <col min="4364" max="4364" width="10.42578125" style="199" bestFit="1" customWidth="1"/>
    <col min="4365" max="4365" width="10.28515625" style="199" customWidth="1"/>
    <col min="4366" max="4366" width="11.42578125" style="199" bestFit="1" customWidth="1"/>
    <col min="4367" max="4608" width="8.85546875" style="199"/>
    <col min="4609" max="4609" width="4.140625" style="199" customWidth="1"/>
    <col min="4610" max="4610" width="9.28515625" style="199" customWidth="1"/>
    <col min="4611" max="4611" width="39.7109375" style="199" customWidth="1"/>
    <col min="4612" max="4614" width="8.85546875" style="199"/>
    <col min="4615" max="4615" width="9.85546875" style="199" customWidth="1"/>
    <col min="4616" max="4616" width="11.42578125" style="199" bestFit="1" customWidth="1"/>
    <col min="4617" max="4617" width="10.85546875" style="199" customWidth="1"/>
    <col min="4618" max="4618" width="8.85546875" style="199"/>
    <col min="4619" max="4619" width="10.7109375" style="199" customWidth="1"/>
    <col min="4620" max="4620" width="10.42578125" style="199" bestFit="1" customWidth="1"/>
    <col min="4621" max="4621" width="10.28515625" style="199" customWidth="1"/>
    <col min="4622" max="4622" width="11.42578125" style="199" bestFit="1" customWidth="1"/>
    <col min="4623" max="4864" width="8.85546875" style="199"/>
    <col min="4865" max="4865" width="4.140625" style="199" customWidth="1"/>
    <col min="4866" max="4866" width="9.28515625" style="199" customWidth="1"/>
    <col min="4867" max="4867" width="39.7109375" style="199" customWidth="1"/>
    <col min="4868" max="4870" width="8.85546875" style="199"/>
    <col min="4871" max="4871" width="9.85546875" style="199" customWidth="1"/>
    <col min="4872" max="4872" width="11.42578125" style="199" bestFit="1" customWidth="1"/>
    <col min="4873" max="4873" width="10.85546875" style="199" customWidth="1"/>
    <col min="4874" max="4874" width="8.85546875" style="199"/>
    <col min="4875" max="4875" width="10.7109375" style="199" customWidth="1"/>
    <col min="4876" max="4876" width="10.42578125" style="199" bestFit="1" customWidth="1"/>
    <col min="4877" max="4877" width="10.28515625" style="199" customWidth="1"/>
    <col min="4878" max="4878" width="11.42578125" style="199" bestFit="1" customWidth="1"/>
    <col min="4879" max="5120" width="8.85546875" style="199"/>
    <col min="5121" max="5121" width="4.140625" style="199" customWidth="1"/>
    <col min="5122" max="5122" width="9.28515625" style="199" customWidth="1"/>
    <col min="5123" max="5123" width="39.7109375" style="199" customWidth="1"/>
    <col min="5124" max="5126" width="8.85546875" style="199"/>
    <col min="5127" max="5127" width="9.85546875" style="199" customWidth="1"/>
    <col min="5128" max="5128" width="11.42578125" style="199" bestFit="1" customWidth="1"/>
    <col min="5129" max="5129" width="10.85546875" style="199" customWidth="1"/>
    <col min="5130" max="5130" width="8.85546875" style="199"/>
    <col min="5131" max="5131" width="10.7109375" style="199" customWidth="1"/>
    <col min="5132" max="5132" width="10.42578125" style="199" bestFit="1" customWidth="1"/>
    <col min="5133" max="5133" width="10.28515625" style="199" customWidth="1"/>
    <col min="5134" max="5134" width="11.42578125" style="199" bestFit="1" customWidth="1"/>
    <col min="5135" max="5376" width="8.85546875" style="199"/>
    <col min="5377" max="5377" width="4.140625" style="199" customWidth="1"/>
    <col min="5378" max="5378" width="9.28515625" style="199" customWidth="1"/>
    <col min="5379" max="5379" width="39.7109375" style="199" customWidth="1"/>
    <col min="5380" max="5382" width="8.85546875" style="199"/>
    <col min="5383" max="5383" width="9.85546875" style="199" customWidth="1"/>
    <col min="5384" max="5384" width="11.42578125" style="199" bestFit="1" customWidth="1"/>
    <col min="5385" max="5385" width="10.85546875" style="199" customWidth="1"/>
    <col min="5386" max="5386" width="8.85546875" style="199"/>
    <col min="5387" max="5387" width="10.7109375" style="199" customWidth="1"/>
    <col min="5388" max="5388" width="10.42578125" style="199" bestFit="1" customWidth="1"/>
    <col min="5389" max="5389" width="10.28515625" style="199" customWidth="1"/>
    <col min="5390" max="5390" width="11.42578125" style="199" bestFit="1" customWidth="1"/>
    <col min="5391" max="5632" width="8.85546875" style="199"/>
    <col min="5633" max="5633" width="4.140625" style="199" customWidth="1"/>
    <col min="5634" max="5634" width="9.28515625" style="199" customWidth="1"/>
    <col min="5635" max="5635" width="39.7109375" style="199" customWidth="1"/>
    <col min="5636" max="5638" width="8.85546875" style="199"/>
    <col min="5639" max="5639" width="9.85546875" style="199" customWidth="1"/>
    <col min="5640" max="5640" width="11.42578125" style="199" bestFit="1" customWidth="1"/>
    <col min="5641" max="5641" width="10.85546875" style="199" customWidth="1"/>
    <col min="5642" max="5642" width="8.85546875" style="199"/>
    <col min="5643" max="5643" width="10.7109375" style="199" customWidth="1"/>
    <col min="5644" max="5644" width="10.42578125" style="199" bestFit="1" customWidth="1"/>
    <col min="5645" max="5645" width="10.28515625" style="199" customWidth="1"/>
    <col min="5646" max="5646" width="11.42578125" style="199" bestFit="1" customWidth="1"/>
    <col min="5647" max="5888" width="8.85546875" style="199"/>
    <col min="5889" max="5889" width="4.140625" style="199" customWidth="1"/>
    <col min="5890" max="5890" width="9.28515625" style="199" customWidth="1"/>
    <col min="5891" max="5891" width="39.7109375" style="199" customWidth="1"/>
    <col min="5892" max="5894" width="8.85546875" style="199"/>
    <col min="5895" max="5895" width="9.85546875" style="199" customWidth="1"/>
    <col min="5896" max="5896" width="11.42578125" style="199" bestFit="1" customWidth="1"/>
    <col min="5897" max="5897" width="10.85546875" style="199" customWidth="1"/>
    <col min="5898" max="5898" width="8.85546875" style="199"/>
    <col min="5899" max="5899" width="10.7109375" style="199" customWidth="1"/>
    <col min="5900" max="5900" width="10.42578125" style="199" bestFit="1" customWidth="1"/>
    <col min="5901" max="5901" width="10.28515625" style="199" customWidth="1"/>
    <col min="5902" max="5902" width="11.42578125" style="199" bestFit="1" customWidth="1"/>
    <col min="5903" max="6144" width="8.85546875" style="199"/>
    <col min="6145" max="6145" width="4.140625" style="199" customWidth="1"/>
    <col min="6146" max="6146" width="9.28515625" style="199" customWidth="1"/>
    <col min="6147" max="6147" width="39.7109375" style="199" customWidth="1"/>
    <col min="6148" max="6150" width="8.85546875" style="199"/>
    <col min="6151" max="6151" width="9.85546875" style="199" customWidth="1"/>
    <col min="6152" max="6152" width="11.42578125" style="199" bestFit="1" customWidth="1"/>
    <col min="6153" max="6153" width="10.85546875" style="199" customWidth="1"/>
    <col min="6154" max="6154" width="8.85546875" style="199"/>
    <col min="6155" max="6155" width="10.7109375" style="199" customWidth="1"/>
    <col min="6156" max="6156" width="10.42578125" style="199" bestFit="1" customWidth="1"/>
    <col min="6157" max="6157" width="10.28515625" style="199" customWidth="1"/>
    <col min="6158" max="6158" width="11.42578125" style="199" bestFit="1" customWidth="1"/>
    <col min="6159" max="6400" width="8.85546875" style="199"/>
    <col min="6401" max="6401" width="4.140625" style="199" customWidth="1"/>
    <col min="6402" max="6402" width="9.28515625" style="199" customWidth="1"/>
    <col min="6403" max="6403" width="39.7109375" style="199" customWidth="1"/>
    <col min="6404" max="6406" width="8.85546875" style="199"/>
    <col min="6407" max="6407" width="9.85546875" style="199" customWidth="1"/>
    <col min="6408" max="6408" width="11.42578125" style="199" bestFit="1" customWidth="1"/>
    <col min="6409" max="6409" width="10.85546875" style="199" customWidth="1"/>
    <col min="6410" max="6410" width="8.85546875" style="199"/>
    <col min="6411" max="6411" width="10.7109375" style="199" customWidth="1"/>
    <col min="6412" max="6412" width="10.42578125" style="199" bestFit="1" customWidth="1"/>
    <col min="6413" max="6413" width="10.28515625" style="199" customWidth="1"/>
    <col min="6414" max="6414" width="11.42578125" style="199" bestFit="1" customWidth="1"/>
    <col min="6415" max="6656" width="8.85546875" style="199"/>
    <col min="6657" max="6657" width="4.140625" style="199" customWidth="1"/>
    <col min="6658" max="6658" width="9.28515625" style="199" customWidth="1"/>
    <col min="6659" max="6659" width="39.7109375" style="199" customWidth="1"/>
    <col min="6660" max="6662" width="8.85546875" style="199"/>
    <col min="6663" max="6663" width="9.85546875" style="199" customWidth="1"/>
    <col min="6664" max="6664" width="11.42578125" style="199" bestFit="1" customWidth="1"/>
    <col min="6665" max="6665" width="10.85546875" style="199" customWidth="1"/>
    <col min="6666" max="6666" width="8.85546875" style="199"/>
    <col min="6667" max="6667" width="10.7109375" style="199" customWidth="1"/>
    <col min="6668" max="6668" width="10.42578125" style="199" bestFit="1" customWidth="1"/>
    <col min="6669" max="6669" width="10.28515625" style="199" customWidth="1"/>
    <col min="6670" max="6670" width="11.42578125" style="199" bestFit="1" customWidth="1"/>
    <col min="6671" max="6912" width="8.85546875" style="199"/>
    <col min="6913" max="6913" width="4.140625" style="199" customWidth="1"/>
    <col min="6914" max="6914" width="9.28515625" style="199" customWidth="1"/>
    <col min="6915" max="6915" width="39.7109375" style="199" customWidth="1"/>
    <col min="6916" max="6918" width="8.85546875" style="199"/>
    <col min="6919" max="6919" width="9.85546875" style="199" customWidth="1"/>
    <col min="6920" max="6920" width="11.42578125" style="199" bestFit="1" customWidth="1"/>
    <col min="6921" max="6921" width="10.85546875" style="199" customWidth="1"/>
    <col min="6922" max="6922" width="8.85546875" style="199"/>
    <col min="6923" max="6923" width="10.7109375" style="199" customWidth="1"/>
    <col min="6924" max="6924" width="10.42578125" style="199" bestFit="1" customWidth="1"/>
    <col min="6925" max="6925" width="10.28515625" style="199" customWidth="1"/>
    <col min="6926" max="6926" width="11.42578125" style="199" bestFit="1" customWidth="1"/>
    <col min="6927" max="7168" width="8.85546875" style="199"/>
    <col min="7169" max="7169" width="4.140625" style="199" customWidth="1"/>
    <col min="7170" max="7170" width="9.28515625" style="199" customWidth="1"/>
    <col min="7171" max="7171" width="39.7109375" style="199" customWidth="1"/>
    <col min="7172" max="7174" width="8.85546875" style="199"/>
    <col min="7175" max="7175" width="9.85546875" style="199" customWidth="1"/>
    <col min="7176" max="7176" width="11.42578125" style="199" bestFit="1" customWidth="1"/>
    <col min="7177" max="7177" width="10.85546875" style="199" customWidth="1"/>
    <col min="7178" max="7178" width="8.85546875" style="199"/>
    <col min="7179" max="7179" width="10.7109375" style="199" customWidth="1"/>
    <col min="7180" max="7180" width="10.42578125" style="199" bestFit="1" customWidth="1"/>
    <col min="7181" max="7181" width="10.28515625" style="199" customWidth="1"/>
    <col min="7182" max="7182" width="11.42578125" style="199" bestFit="1" customWidth="1"/>
    <col min="7183" max="7424" width="8.85546875" style="199"/>
    <col min="7425" max="7425" width="4.140625" style="199" customWidth="1"/>
    <col min="7426" max="7426" width="9.28515625" style="199" customWidth="1"/>
    <col min="7427" max="7427" width="39.7109375" style="199" customWidth="1"/>
    <col min="7428" max="7430" width="8.85546875" style="199"/>
    <col min="7431" max="7431" width="9.85546875" style="199" customWidth="1"/>
    <col min="7432" max="7432" width="11.42578125" style="199" bestFit="1" customWidth="1"/>
    <col min="7433" max="7433" width="10.85546875" style="199" customWidth="1"/>
    <col min="7434" max="7434" width="8.85546875" style="199"/>
    <col min="7435" max="7435" width="10.7109375" style="199" customWidth="1"/>
    <col min="7436" max="7436" width="10.42578125" style="199" bestFit="1" customWidth="1"/>
    <col min="7437" max="7437" width="10.28515625" style="199" customWidth="1"/>
    <col min="7438" max="7438" width="11.42578125" style="199" bestFit="1" customWidth="1"/>
    <col min="7439" max="7680" width="8.85546875" style="199"/>
    <col min="7681" max="7681" width="4.140625" style="199" customWidth="1"/>
    <col min="7682" max="7682" width="9.28515625" style="199" customWidth="1"/>
    <col min="7683" max="7683" width="39.7109375" style="199" customWidth="1"/>
    <col min="7684" max="7686" width="8.85546875" style="199"/>
    <col min="7687" max="7687" width="9.85546875" style="199" customWidth="1"/>
    <col min="7688" max="7688" width="11.42578125" style="199" bestFit="1" customWidth="1"/>
    <col min="7689" max="7689" width="10.85546875" style="199" customWidth="1"/>
    <col min="7690" max="7690" width="8.85546875" style="199"/>
    <col min="7691" max="7691" width="10.7109375" style="199" customWidth="1"/>
    <col min="7692" max="7692" width="10.42578125" style="199" bestFit="1" customWidth="1"/>
    <col min="7693" max="7693" width="10.28515625" style="199" customWidth="1"/>
    <col min="7694" max="7694" width="11.42578125" style="199" bestFit="1" customWidth="1"/>
    <col min="7695" max="7936" width="8.85546875" style="199"/>
    <col min="7937" max="7937" width="4.140625" style="199" customWidth="1"/>
    <col min="7938" max="7938" width="9.28515625" style="199" customWidth="1"/>
    <col min="7939" max="7939" width="39.7109375" style="199" customWidth="1"/>
    <col min="7940" max="7942" width="8.85546875" style="199"/>
    <col min="7943" max="7943" width="9.85546875" style="199" customWidth="1"/>
    <col min="7944" max="7944" width="11.42578125" style="199" bestFit="1" customWidth="1"/>
    <col min="7945" max="7945" width="10.85546875" style="199" customWidth="1"/>
    <col min="7946" max="7946" width="8.85546875" style="199"/>
    <col min="7947" max="7947" width="10.7109375" style="199" customWidth="1"/>
    <col min="7948" max="7948" width="10.42578125" style="199" bestFit="1" customWidth="1"/>
    <col min="7949" max="7949" width="10.28515625" style="199" customWidth="1"/>
    <col min="7950" max="7950" width="11.42578125" style="199" bestFit="1" customWidth="1"/>
    <col min="7951" max="8192" width="8.85546875" style="199"/>
    <col min="8193" max="8193" width="4.140625" style="199" customWidth="1"/>
    <col min="8194" max="8194" width="9.28515625" style="199" customWidth="1"/>
    <col min="8195" max="8195" width="39.7109375" style="199" customWidth="1"/>
    <col min="8196" max="8198" width="8.85546875" style="199"/>
    <col min="8199" max="8199" width="9.85546875" style="199" customWidth="1"/>
    <col min="8200" max="8200" width="11.42578125" style="199" bestFit="1" customWidth="1"/>
    <col min="8201" max="8201" width="10.85546875" style="199" customWidth="1"/>
    <col min="8202" max="8202" width="8.85546875" style="199"/>
    <col min="8203" max="8203" width="10.7109375" style="199" customWidth="1"/>
    <col min="8204" max="8204" width="10.42578125" style="199" bestFit="1" customWidth="1"/>
    <col min="8205" max="8205" width="10.28515625" style="199" customWidth="1"/>
    <col min="8206" max="8206" width="11.42578125" style="199" bestFit="1" customWidth="1"/>
    <col min="8207" max="8448" width="8.85546875" style="199"/>
    <col min="8449" max="8449" width="4.140625" style="199" customWidth="1"/>
    <col min="8450" max="8450" width="9.28515625" style="199" customWidth="1"/>
    <col min="8451" max="8451" width="39.7109375" style="199" customWidth="1"/>
    <col min="8452" max="8454" width="8.85546875" style="199"/>
    <col min="8455" max="8455" width="9.85546875" style="199" customWidth="1"/>
    <col min="8456" max="8456" width="11.42578125" style="199" bestFit="1" customWidth="1"/>
    <col min="8457" max="8457" width="10.85546875" style="199" customWidth="1"/>
    <col min="8458" max="8458" width="8.85546875" style="199"/>
    <col min="8459" max="8459" width="10.7109375" style="199" customWidth="1"/>
    <col min="8460" max="8460" width="10.42578125" style="199" bestFit="1" customWidth="1"/>
    <col min="8461" max="8461" width="10.28515625" style="199" customWidth="1"/>
    <col min="8462" max="8462" width="11.42578125" style="199" bestFit="1" customWidth="1"/>
    <col min="8463" max="8704" width="8.85546875" style="199"/>
    <col min="8705" max="8705" width="4.140625" style="199" customWidth="1"/>
    <col min="8706" max="8706" width="9.28515625" style="199" customWidth="1"/>
    <col min="8707" max="8707" width="39.7109375" style="199" customWidth="1"/>
    <col min="8708" max="8710" width="8.85546875" style="199"/>
    <col min="8711" max="8711" width="9.85546875" style="199" customWidth="1"/>
    <col min="8712" max="8712" width="11.42578125" style="199" bestFit="1" customWidth="1"/>
    <col min="8713" max="8713" width="10.85546875" style="199" customWidth="1"/>
    <col min="8714" max="8714" width="8.85546875" style="199"/>
    <col min="8715" max="8715" width="10.7109375" style="199" customWidth="1"/>
    <col min="8716" max="8716" width="10.42578125" style="199" bestFit="1" customWidth="1"/>
    <col min="8717" max="8717" width="10.28515625" style="199" customWidth="1"/>
    <col min="8718" max="8718" width="11.42578125" style="199" bestFit="1" customWidth="1"/>
    <col min="8719" max="8960" width="8.85546875" style="199"/>
    <col min="8961" max="8961" width="4.140625" style="199" customWidth="1"/>
    <col min="8962" max="8962" width="9.28515625" style="199" customWidth="1"/>
    <col min="8963" max="8963" width="39.7109375" style="199" customWidth="1"/>
    <col min="8964" max="8966" width="8.85546875" style="199"/>
    <col min="8967" max="8967" width="9.85546875" style="199" customWidth="1"/>
    <col min="8968" max="8968" width="11.42578125" style="199" bestFit="1" customWidth="1"/>
    <col min="8969" max="8969" width="10.85546875" style="199" customWidth="1"/>
    <col min="8970" max="8970" width="8.85546875" style="199"/>
    <col min="8971" max="8971" width="10.7109375" style="199" customWidth="1"/>
    <col min="8972" max="8972" width="10.42578125" style="199" bestFit="1" customWidth="1"/>
    <col min="8973" max="8973" width="10.28515625" style="199" customWidth="1"/>
    <col min="8974" max="8974" width="11.42578125" style="199" bestFit="1" customWidth="1"/>
    <col min="8975" max="9216" width="8.85546875" style="199"/>
    <col min="9217" max="9217" width="4.140625" style="199" customWidth="1"/>
    <col min="9218" max="9218" width="9.28515625" style="199" customWidth="1"/>
    <col min="9219" max="9219" width="39.7109375" style="199" customWidth="1"/>
    <col min="9220" max="9222" width="8.85546875" style="199"/>
    <col min="9223" max="9223" width="9.85546875" style="199" customWidth="1"/>
    <col min="9224" max="9224" width="11.42578125" style="199" bestFit="1" customWidth="1"/>
    <col min="9225" max="9225" width="10.85546875" style="199" customWidth="1"/>
    <col min="9226" max="9226" width="8.85546875" style="199"/>
    <col min="9227" max="9227" width="10.7109375" style="199" customWidth="1"/>
    <col min="9228" max="9228" width="10.42578125" style="199" bestFit="1" customWidth="1"/>
    <col min="9229" max="9229" width="10.28515625" style="199" customWidth="1"/>
    <col min="9230" max="9230" width="11.42578125" style="199" bestFit="1" customWidth="1"/>
    <col min="9231" max="9472" width="8.85546875" style="199"/>
    <col min="9473" max="9473" width="4.140625" style="199" customWidth="1"/>
    <col min="9474" max="9474" width="9.28515625" style="199" customWidth="1"/>
    <col min="9475" max="9475" width="39.7109375" style="199" customWidth="1"/>
    <col min="9476" max="9478" width="8.85546875" style="199"/>
    <col min="9479" max="9479" width="9.85546875" style="199" customWidth="1"/>
    <col min="9480" max="9480" width="11.42578125" style="199" bestFit="1" customWidth="1"/>
    <col min="9481" max="9481" width="10.85546875" style="199" customWidth="1"/>
    <col min="9482" max="9482" width="8.85546875" style="199"/>
    <col min="9483" max="9483" width="10.7109375" style="199" customWidth="1"/>
    <col min="9484" max="9484" width="10.42578125" style="199" bestFit="1" customWidth="1"/>
    <col min="9485" max="9485" width="10.28515625" style="199" customWidth="1"/>
    <col min="9486" max="9486" width="11.42578125" style="199" bestFit="1" customWidth="1"/>
    <col min="9487" max="9728" width="8.85546875" style="199"/>
    <col min="9729" max="9729" width="4.140625" style="199" customWidth="1"/>
    <col min="9730" max="9730" width="9.28515625" style="199" customWidth="1"/>
    <col min="9731" max="9731" width="39.7109375" style="199" customWidth="1"/>
    <col min="9732" max="9734" width="8.85546875" style="199"/>
    <col min="9735" max="9735" width="9.85546875" style="199" customWidth="1"/>
    <col min="9736" max="9736" width="11.42578125" style="199" bestFit="1" customWidth="1"/>
    <col min="9737" max="9737" width="10.85546875" style="199" customWidth="1"/>
    <col min="9738" max="9738" width="8.85546875" style="199"/>
    <col min="9739" max="9739" width="10.7109375" style="199" customWidth="1"/>
    <col min="9740" max="9740" width="10.42578125" style="199" bestFit="1" customWidth="1"/>
    <col min="9741" max="9741" width="10.28515625" style="199" customWidth="1"/>
    <col min="9742" max="9742" width="11.42578125" style="199" bestFit="1" customWidth="1"/>
    <col min="9743" max="9984" width="8.85546875" style="199"/>
    <col min="9985" max="9985" width="4.140625" style="199" customWidth="1"/>
    <col min="9986" max="9986" width="9.28515625" style="199" customWidth="1"/>
    <col min="9987" max="9987" width="39.7109375" style="199" customWidth="1"/>
    <col min="9988" max="9990" width="8.85546875" style="199"/>
    <col min="9991" max="9991" width="9.85546875" style="199" customWidth="1"/>
    <col min="9992" max="9992" width="11.42578125" style="199" bestFit="1" customWidth="1"/>
    <col min="9993" max="9993" width="10.85546875" style="199" customWidth="1"/>
    <col min="9994" max="9994" width="8.85546875" style="199"/>
    <col min="9995" max="9995" width="10.7109375" style="199" customWidth="1"/>
    <col min="9996" max="9996" width="10.42578125" style="199" bestFit="1" customWidth="1"/>
    <col min="9997" max="9997" width="10.28515625" style="199" customWidth="1"/>
    <col min="9998" max="9998" width="11.42578125" style="199" bestFit="1" customWidth="1"/>
    <col min="9999" max="10240" width="8.85546875" style="199"/>
    <col min="10241" max="10241" width="4.140625" style="199" customWidth="1"/>
    <col min="10242" max="10242" width="9.28515625" style="199" customWidth="1"/>
    <col min="10243" max="10243" width="39.7109375" style="199" customWidth="1"/>
    <col min="10244" max="10246" width="8.85546875" style="199"/>
    <col min="10247" max="10247" width="9.85546875" style="199" customWidth="1"/>
    <col min="10248" max="10248" width="11.42578125" style="199" bestFit="1" customWidth="1"/>
    <col min="10249" max="10249" width="10.85546875" style="199" customWidth="1"/>
    <col min="10250" max="10250" width="8.85546875" style="199"/>
    <col min="10251" max="10251" width="10.7109375" style="199" customWidth="1"/>
    <col min="10252" max="10252" width="10.42578125" style="199" bestFit="1" customWidth="1"/>
    <col min="10253" max="10253" width="10.28515625" style="199" customWidth="1"/>
    <col min="10254" max="10254" width="11.42578125" style="199" bestFit="1" customWidth="1"/>
    <col min="10255" max="10496" width="8.85546875" style="199"/>
    <col min="10497" max="10497" width="4.140625" style="199" customWidth="1"/>
    <col min="10498" max="10498" width="9.28515625" style="199" customWidth="1"/>
    <col min="10499" max="10499" width="39.7109375" style="199" customWidth="1"/>
    <col min="10500" max="10502" width="8.85546875" style="199"/>
    <col min="10503" max="10503" width="9.85546875" style="199" customWidth="1"/>
    <col min="10504" max="10504" width="11.42578125" style="199" bestFit="1" customWidth="1"/>
    <col min="10505" max="10505" width="10.85546875" style="199" customWidth="1"/>
    <col min="10506" max="10506" width="8.85546875" style="199"/>
    <col min="10507" max="10507" width="10.7109375" style="199" customWidth="1"/>
    <col min="10508" max="10508" width="10.42578125" style="199" bestFit="1" customWidth="1"/>
    <col min="10509" max="10509" width="10.28515625" style="199" customWidth="1"/>
    <col min="10510" max="10510" width="11.42578125" style="199" bestFit="1" customWidth="1"/>
    <col min="10511" max="10752" width="8.85546875" style="199"/>
    <col min="10753" max="10753" width="4.140625" style="199" customWidth="1"/>
    <col min="10754" max="10754" width="9.28515625" style="199" customWidth="1"/>
    <col min="10755" max="10755" width="39.7109375" style="199" customWidth="1"/>
    <col min="10756" max="10758" width="8.85546875" style="199"/>
    <col min="10759" max="10759" width="9.85546875" style="199" customWidth="1"/>
    <col min="10760" max="10760" width="11.42578125" style="199" bestFit="1" customWidth="1"/>
    <col min="10761" max="10761" width="10.85546875" style="199" customWidth="1"/>
    <col min="10762" max="10762" width="8.85546875" style="199"/>
    <col min="10763" max="10763" width="10.7109375" style="199" customWidth="1"/>
    <col min="10764" max="10764" width="10.42578125" style="199" bestFit="1" customWidth="1"/>
    <col min="10765" max="10765" width="10.28515625" style="199" customWidth="1"/>
    <col min="10766" max="10766" width="11.42578125" style="199" bestFit="1" customWidth="1"/>
    <col min="10767" max="11008" width="8.85546875" style="199"/>
    <col min="11009" max="11009" width="4.140625" style="199" customWidth="1"/>
    <col min="11010" max="11010" width="9.28515625" style="199" customWidth="1"/>
    <col min="11011" max="11011" width="39.7109375" style="199" customWidth="1"/>
    <col min="11012" max="11014" width="8.85546875" style="199"/>
    <col min="11015" max="11015" width="9.85546875" style="199" customWidth="1"/>
    <col min="11016" max="11016" width="11.42578125" style="199" bestFit="1" customWidth="1"/>
    <col min="11017" max="11017" width="10.85546875" style="199" customWidth="1"/>
    <col min="11018" max="11018" width="8.85546875" style="199"/>
    <col min="11019" max="11019" width="10.7109375" style="199" customWidth="1"/>
    <col min="11020" max="11020" width="10.42578125" style="199" bestFit="1" customWidth="1"/>
    <col min="11021" max="11021" width="10.28515625" style="199" customWidth="1"/>
    <col min="11022" max="11022" width="11.42578125" style="199" bestFit="1" customWidth="1"/>
    <col min="11023" max="11264" width="8.85546875" style="199"/>
    <col min="11265" max="11265" width="4.140625" style="199" customWidth="1"/>
    <col min="11266" max="11266" width="9.28515625" style="199" customWidth="1"/>
    <col min="11267" max="11267" width="39.7109375" style="199" customWidth="1"/>
    <col min="11268" max="11270" width="8.85546875" style="199"/>
    <col min="11271" max="11271" width="9.85546875" style="199" customWidth="1"/>
    <col min="11272" max="11272" width="11.42578125" style="199" bestFit="1" customWidth="1"/>
    <col min="11273" max="11273" width="10.85546875" style="199" customWidth="1"/>
    <col min="11274" max="11274" width="8.85546875" style="199"/>
    <col min="11275" max="11275" width="10.7109375" style="199" customWidth="1"/>
    <col min="11276" max="11276" width="10.42578125" style="199" bestFit="1" customWidth="1"/>
    <col min="11277" max="11277" width="10.28515625" style="199" customWidth="1"/>
    <col min="11278" max="11278" width="11.42578125" style="199" bestFit="1" customWidth="1"/>
    <col min="11279" max="11520" width="8.85546875" style="199"/>
    <col min="11521" max="11521" width="4.140625" style="199" customWidth="1"/>
    <col min="11522" max="11522" width="9.28515625" style="199" customWidth="1"/>
    <col min="11523" max="11523" width="39.7109375" style="199" customWidth="1"/>
    <col min="11524" max="11526" width="8.85546875" style="199"/>
    <col min="11527" max="11527" width="9.85546875" style="199" customWidth="1"/>
    <col min="11528" max="11528" width="11.42578125" style="199" bestFit="1" customWidth="1"/>
    <col min="11529" max="11529" width="10.85546875" style="199" customWidth="1"/>
    <col min="11530" max="11530" width="8.85546875" style="199"/>
    <col min="11531" max="11531" width="10.7109375" style="199" customWidth="1"/>
    <col min="11532" max="11532" width="10.42578125" style="199" bestFit="1" customWidth="1"/>
    <col min="11533" max="11533" width="10.28515625" style="199" customWidth="1"/>
    <col min="11534" max="11534" width="11.42578125" style="199" bestFit="1" customWidth="1"/>
    <col min="11535" max="11776" width="8.85546875" style="199"/>
    <col min="11777" max="11777" width="4.140625" style="199" customWidth="1"/>
    <col min="11778" max="11778" width="9.28515625" style="199" customWidth="1"/>
    <col min="11779" max="11779" width="39.7109375" style="199" customWidth="1"/>
    <col min="11780" max="11782" width="8.85546875" style="199"/>
    <col min="11783" max="11783" width="9.85546875" style="199" customWidth="1"/>
    <col min="11784" max="11784" width="11.42578125" style="199" bestFit="1" customWidth="1"/>
    <col min="11785" max="11785" width="10.85546875" style="199" customWidth="1"/>
    <col min="11786" max="11786" width="8.85546875" style="199"/>
    <col min="11787" max="11787" width="10.7109375" style="199" customWidth="1"/>
    <col min="11788" max="11788" width="10.42578125" style="199" bestFit="1" customWidth="1"/>
    <col min="11789" max="11789" width="10.28515625" style="199" customWidth="1"/>
    <col min="11790" max="11790" width="11.42578125" style="199" bestFit="1" customWidth="1"/>
    <col min="11791" max="12032" width="8.85546875" style="199"/>
    <col min="12033" max="12033" width="4.140625" style="199" customWidth="1"/>
    <col min="12034" max="12034" width="9.28515625" style="199" customWidth="1"/>
    <col min="12035" max="12035" width="39.7109375" style="199" customWidth="1"/>
    <col min="12036" max="12038" width="8.85546875" style="199"/>
    <col min="12039" max="12039" width="9.85546875" style="199" customWidth="1"/>
    <col min="12040" max="12040" width="11.42578125" style="199" bestFit="1" customWidth="1"/>
    <col min="12041" max="12041" width="10.85546875" style="199" customWidth="1"/>
    <col min="12042" max="12042" width="8.85546875" style="199"/>
    <col min="12043" max="12043" width="10.7109375" style="199" customWidth="1"/>
    <col min="12044" max="12044" width="10.42578125" style="199" bestFit="1" customWidth="1"/>
    <col min="12045" max="12045" width="10.28515625" style="199" customWidth="1"/>
    <col min="12046" max="12046" width="11.42578125" style="199" bestFit="1" customWidth="1"/>
    <col min="12047" max="12288" width="8.85546875" style="199"/>
    <col min="12289" max="12289" width="4.140625" style="199" customWidth="1"/>
    <col min="12290" max="12290" width="9.28515625" style="199" customWidth="1"/>
    <col min="12291" max="12291" width="39.7109375" style="199" customWidth="1"/>
    <col min="12292" max="12294" width="8.85546875" style="199"/>
    <col min="12295" max="12295" width="9.85546875" style="199" customWidth="1"/>
    <col min="12296" max="12296" width="11.42578125" style="199" bestFit="1" customWidth="1"/>
    <col min="12297" max="12297" width="10.85546875" style="199" customWidth="1"/>
    <col min="12298" max="12298" width="8.85546875" style="199"/>
    <col min="12299" max="12299" width="10.7109375" style="199" customWidth="1"/>
    <col min="12300" max="12300" width="10.42578125" style="199" bestFit="1" customWidth="1"/>
    <col min="12301" max="12301" width="10.28515625" style="199" customWidth="1"/>
    <col min="12302" max="12302" width="11.42578125" style="199" bestFit="1" customWidth="1"/>
    <col min="12303" max="12544" width="8.85546875" style="199"/>
    <col min="12545" max="12545" width="4.140625" style="199" customWidth="1"/>
    <col min="12546" max="12546" width="9.28515625" style="199" customWidth="1"/>
    <col min="12547" max="12547" width="39.7109375" style="199" customWidth="1"/>
    <col min="12548" max="12550" width="8.85546875" style="199"/>
    <col min="12551" max="12551" width="9.85546875" style="199" customWidth="1"/>
    <col min="12552" max="12552" width="11.42578125" style="199" bestFit="1" customWidth="1"/>
    <col min="12553" max="12553" width="10.85546875" style="199" customWidth="1"/>
    <col min="12554" max="12554" width="8.85546875" style="199"/>
    <col min="12555" max="12555" width="10.7109375" style="199" customWidth="1"/>
    <col min="12556" max="12556" width="10.42578125" style="199" bestFit="1" customWidth="1"/>
    <col min="12557" max="12557" width="10.28515625" style="199" customWidth="1"/>
    <col min="12558" max="12558" width="11.42578125" style="199" bestFit="1" customWidth="1"/>
    <col min="12559" max="12800" width="8.85546875" style="199"/>
    <col min="12801" max="12801" width="4.140625" style="199" customWidth="1"/>
    <col min="12802" max="12802" width="9.28515625" style="199" customWidth="1"/>
    <col min="12803" max="12803" width="39.7109375" style="199" customWidth="1"/>
    <col min="12804" max="12806" width="8.85546875" style="199"/>
    <col min="12807" max="12807" width="9.85546875" style="199" customWidth="1"/>
    <col min="12808" max="12808" width="11.42578125" style="199" bestFit="1" customWidth="1"/>
    <col min="12809" max="12809" width="10.85546875" style="199" customWidth="1"/>
    <col min="12810" max="12810" width="8.85546875" style="199"/>
    <col min="12811" max="12811" width="10.7109375" style="199" customWidth="1"/>
    <col min="12812" max="12812" width="10.42578125" style="199" bestFit="1" customWidth="1"/>
    <col min="12813" max="12813" width="10.28515625" style="199" customWidth="1"/>
    <col min="12814" max="12814" width="11.42578125" style="199" bestFit="1" customWidth="1"/>
    <col min="12815" max="13056" width="8.85546875" style="199"/>
    <col min="13057" max="13057" width="4.140625" style="199" customWidth="1"/>
    <col min="13058" max="13058" width="9.28515625" style="199" customWidth="1"/>
    <col min="13059" max="13059" width="39.7109375" style="199" customWidth="1"/>
    <col min="13060" max="13062" width="8.85546875" style="199"/>
    <col min="13063" max="13063" width="9.85546875" style="199" customWidth="1"/>
    <col min="13064" max="13064" width="11.42578125" style="199" bestFit="1" customWidth="1"/>
    <col min="13065" max="13065" width="10.85546875" style="199" customWidth="1"/>
    <col min="13066" max="13066" width="8.85546875" style="199"/>
    <col min="13067" max="13067" width="10.7109375" style="199" customWidth="1"/>
    <col min="13068" max="13068" width="10.42578125" style="199" bestFit="1" customWidth="1"/>
    <col min="13069" max="13069" width="10.28515625" style="199" customWidth="1"/>
    <col min="13070" max="13070" width="11.42578125" style="199" bestFit="1" customWidth="1"/>
    <col min="13071" max="13312" width="8.85546875" style="199"/>
    <col min="13313" max="13313" width="4.140625" style="199" customWidth="1"/>
    <col min="13314" max="13314" width="9.28515625" style="199" customWidth="1"/>
    <col min="13315" max="13315" width="39.7109375" style="199" customWidth="1"/>
    <col min="13316" max="13318" width="8.85546875" style="199"/>
    <col min="13319" max="13319" width="9.85546875" style="199" customWidth="1"/>
    <col min="13320" max="13320" width="11.42578125" style="199" bestFit="1" customWidth="1"/>
    <col min="13321" max="13321" width="10.85546875" style="199" customWidth="1"/>
    <col min="13322" max="13322" width="8.85546875" style="199"/>
    <col min="13323" max="13323" width="10.7109375" style="199" customWidth="1"/>
    <col min="13324" max="13324" width="10.42578125" style="199" bestFit="1" customWidth="1"/>
    <col min="13325" max="13325" width="10.28515625" style="199" customWidth="1"/>
    <col min="13326" max="13326" width="11.42578125" style="199" bestFit="1" customWidth="1"/>
    <col min="13327" max="13568" width="8.85546875" style="199"/>
    <col min="13569" max="13569" width="4.140625" style="199" customWidth="1"/>
    <col min="13570" max="13570" width="9.28515625" style="199" customWidth="1"/>
    <col min="13571" max="13571" width="39.7109375" style="199" customWidth="1"/>
    <col min="13572" max="13574" width="8.85546875" style="199"/>
    <col min="13575" max="13575" width="9.85546875" style="199" customWidth="1"/>
    <col min="13576" max="13576" width="11.42578125" style="199" bestFit="1" customWidth="1"/>
    <col min="13577" max="13577" width="10.85546875" style="199" customWidth="1"/>
    <col min="13578" max="13578" width="8.85546875" style="199"/>
    <col min="13579" max="13579" width="10.7109375" style="199" customWidth="1"/>
    <col min="13580" max="13580" width="10.42578125" style="199" bestFit="1" customWidth="1"/>
    <col min="13581" max="13581" width="10.28515625" style="199" customWidth="1"/>
    <col min="13582" max="13582" width="11.42578125" style="199" bestFit="1" customWidth="1"/>
    <col min="13583" max="13824" width="8.85546875" style="199"/>
    <col min="13825" max="13825" width="4.140625" style="199" customWidth="1"/>
    <col min="13826" max="13826" width="9.28515625" style="199" customWidth="1"/>
    <col min="13827" max="13827" width="39.7109375" style="199" customWidth="1"/>
    <col min="13828" max="13830" width="8.85546875" style="199"/>
    <col min="13831" max="13831" width="9.85546875" style="199" customWidth="1"/>
    <col min="13832" max="13832" width="11.42578125" style="199" bestFit="1" customWidth="1"/>
    <col min="13833" max="13833" width="10.85546875" style="199" customWidth="1"/>
    <col min="13834" max="13834" width="8.85546875" style="199"/>
    <col min="13835" max="13835" width="10.7109375" style="199" customWidth="1"/>
    <col min="13836" max="13836" width="10.42578125" style="199" bestFit="1" customWidth="1"/>
    <col min="13837" max="13837" width="10.28515625" style="199" customWidth="1"/>
    <col min="13838" max="13838" width="11.42578125" style="199" bestFit="1" customWidth="1"/>
    <col min="13839" max="14080" width="8.85546875" style="199"/>
    <col min="14081" max="14081" width="4.140625" style="199" customWidth="1"/>
    <col min="14082" max="14082" width="9.28515625" style="199" customWidth="1"/>
    <col min="14083" max="14083" width="39.7109375" style="199" customWidth="1"/>
    <col min="14084" max="14086" width="8.85546875" style="199"/>
    <col min="14087" max="14087" width="9.85546875" style="199" customWidth="1"/>
    <col min="14088" max="14088" width="11.42578125" style="199" bestFit="1" customWidth="1"/>
    <col min="14089" max="14089" width="10.85546875" style="199" customWidth="1"/>
    <col min="14090" max="14090" width="8.85546875" style="199"/>
    <col min="14091" max="14091" width="10.7109375" style="199" customWidth="1"/>
    <col min="14092" max="14092" width="10.42578125" style="199" bestFit="1" customWidth="1"/>
    <col min="14093" max="14093" width="10.28515625" style="199" customWidth="1"/>
    <col min="14094" max="14094" width="11.42578125" style="199" bestFit="1" customWidth="1"/>
    <col min="14095" max="14336" width="8.85546875" style="199"/>
    <col min="14337" max="14337" width="4.140625" style="199" customWidth="1"/>
    <col min="14338" max="14338" width="9.28515625" style="199" customWidth="1"/>
    <col min="14339" max="14339" width="39.7109375" style="199" customWidth="1"/>
    <col min="14340" max="14342" width="8.85546875" style="199"/>
    <col min="14343" max="14343" width="9.85546875" style="199" customWidth="1"/>
    <col min="14344" max="14344" width="11.42578125" style="199" bestFit="1" customWidth="1"/>
    <col min="14345" max="14345" width="10.85546875" style="199" customWidth="1"/>
    <col min="14346" max="14346" width="8.85546875" style="199"/>
    <col min="14347" max="14347" width="10.7109375" style="199" customWidth="1"/>
    <col min="14348" max="14348" width="10.42578125" style="199" bestFit="1" customWidth="1"/>
    <col min="14349" max="14349" width="10.28515625" style="199" customWidth="1"/>
    <col min="14350" max="14350" width="11.42578125" style="199" bestFit="1" customWidth="1"/>
    <col min="14351" max="14592" width="8.85546875" style="199"/>
    <col min="14593" max="14593" width="4.140625" style="199" customWidth="1"/>
    <col min="14594" max="14594" width="9.28515625" style="199" customWidth="1"/>
    <col min="14595" max="14595" width="39.7109375" style="199" customWidth="1"/>
    <col min="14596" max="14598" width="8.85546875" style="199"/>
    <col min="14599" max="14599" width="9.85546875" style="199" customWidth="1"/>
    <col min="14600" max="14600" width="11.42578125" style="199" bestFit="1" customWidth="1"/>
    <col min="14601" max="14601" width="10.85546875" style="199" customWidth="1"/>
    <col min="14602" max="14602" width="8.85546875" style="199"/>
    <col min="14603" max="14603" width="10.7109375" style="199" customWidth="1"/>
    <col min="14604" max="14604" width="10.42578125" style="199" bestFit="1" customWidth="1"/>
    <col min="14605" max="14605" width="10.28515625" style="199" customWidth="1"/>
    <col min="14606" max="14606" width="11.42578125" style="199" bestFit="1" customWidth="1"/>
    <col min="14607" max="14848" width="8.85546875" style="199"/>
    <col min="14849" max="14849" width="4.140625" style="199" customWidth="1"/>
    <col min="14850" max="14850" width="9.28515625" style="199" customWidth="1"/>
    <col min="14851" max="14851" width="39.7109375" style="199" customWidth="1"/>
    <col min="14852" max="14854" width="8.85546875" style="199"/>
    <col min="14855" max="14855" width="9.85546875" style="199" customWidth="1"/>
    <col min="14856" max="14856" width="11.42578125" style="199" bestFit="1" customWidth="1"/>
    <col min="14857" max="14857" width="10.85546875" style="199" customWidth="1"/>
    <col min="14858" max="14858" width="8.85546875" style="199"/>
    <col min="14859" max="14859" width="10.7109375" style="199" customWidth="1"/>
    <col min="14860" max="14860" width="10.42578125" style="199" bestFit="1" customWidth="1"/>
    <col min="14861" max="14861" width="10.28515625" style="199" customWidth="1"/>
    <col min="14862" max="14862" width="11.42578125" style="199" bestFit="1" customWidth="1"/>
    <col min="14863" max="15104" width="8.85546875" style="199"/>
    <col min="15105" max="15105" width="4.140625" style="199" customWidth="1"/>
    <col min="15106" max="15106" width="9.28515625" style="199" customWidth="1"/>
    <col min="15107" max="15107" width="39.7109375" style="199" customWidth="1"/>
    <col min="15108" max="15110" width="8.85546875" style="199"/>
    <col min="15111" max="15111" width="9.85546875" style="199" customWidth="1"/>
    <col min="15112" max="15112" width="11.42578125" style="199" bestFit="1" customWidth="1"/>
    <col min="15113" max="15113" width="10.85546875" style="199" customWidth="1"/>
    <col min="15114" max="15114" width="8.85546875" style="199"/>
    <col min="15115" max="15115" width="10.7109375" style="199" customWidth="1"/>
    <col min="15116" max="15116" width="10.42578125" style="199" bestFit="1" customWidth="1"/>
    <col min="15117" max="15117" width="10.28515625" style="199" customWidth="1"/>
    <col min="15118" max="15118" width="11.42578125" style="199" bestFit="1" customWidth="1"/>
    <col min="15119" max="15360" width="8.85546875" style="199"/>
    <col min="15361" max="15361" width="4.140625" style="199" customWidth="1"/>
    <col min="15362" max="15362" width="9.28515625" style="199" customWidth="1"/>
    <col min="15363" max="15363" width="39.7109375" style="199" customWidth="1"/>
    <col min="15364" max="15366" width="8.85546875" style="199"/>
    <col min="15367" max="15367" width="9.85546875" style="199" customWidth="1"/>
    <col min="15368" max="15368" width="11.42578125" style="199" bestFit="1" customWidth="1"/>
    <col min="15369" max="15369" width="10.85546875" style="199" customWidth="1"/>
    <col min="15370" max="15370" width="8.85546875" style="199"/>
    <col min="15371" max="15371" width="10.7109375" style="199" customWidth="1"/>
    <col min="15372" max="15372" width="10.42578125" style="199" bestFit="1" customWidth="1"/>
    <col min="15373" max="15373" width="10.28515625" style="199" customWidth="1"/>
    <col min="15374" max="15374" width="11.42578125" style="199" bestFit="1" customWidth="1"/>
    <col min="15375" max="15616" width="8.85546875" style="199"/>
    <col min="15617" max="15617" width="4.140625" style="199" customWidth="1"/>
    <col min="15618" max="15618" width="9.28515625" style="199" customWidth="1"/>
    <col min="15619" max="15619" width="39.7109375" style="199" customWidth="1"/>
    <col min="15620" max="15622" width="8.85546875" style="199"/>
    <col min="15623" max="15623" width="9.85546875" style="199" customWidth="1"/>
    <col min="15624" max="15624" width="11.42578125" style="199" bestFit="1" customWidth="1"/>
    <col min="15625" max="15625" width="10.85546875" style="199" customWidth="1"/>
    <col min="15626" max="15626" width="8.85546875" style="199"/>
    <col min="15627" max="15627" width="10.7109375" style="199" customWidth="1"/>
    <col min="15628" max="15628" width="10.42578125" style="199" bestFit="1" customWidth="1"/>
    <col min="15629" max="15629" width="10.28515625" style="199" customWidth="1"/>
    <col min="15630" max="15630" width="11.42578125" style="199" bestFit="1" customWidth="1"/>
    <col min="15631" max="15872" width="8.85546875" style="199"/>
    <col min="15873" max="15873" width="4.140625" style="199" customWidth="1"/>
    <col min="15874" max="15874" width="9.28515625" style="199" customWidth="1"/>
    <col min="15875" max="15875" width="39.7109375" style="199" customWidth="1"/>
    <col min="15876" max="15878" width="8.85546875" style="199"/>
    <col min="15879" max="15879" width="9.85546875" style="199" customWidth="1"/>
    <col min="15880" max="15880" width="11.42578125" style="199" bestFit="1" customWidth="1"/>
    <col min="15881" max="15881" width="10.85546875" style="199" customWidth="1"/>
    <col min="15882" max="15882" width="8.85546875" style="199"/>
    <col min="15883" max="15883" width="10.7109375" style="199" customWidth="1"/>
    <col min="15884" max="15884" width="10.42578125" style="199" bestFit="1" customWidth="1"/>
    <col min="15885" max="15885" width="10.28515625" style="199" customWidth="1"/>
    <col min="15886" max="15886" width="11.42578125" style="199" bestFit="1" customWidth="1"/>
    <col min="15887" max="16128" width="8.85546875" style="199"/>
    <col min="16129" max="16129" width="4.140625" style="199" customWidth="1"/>
    <col min="16130" max="16130" width="9.28515625" style="199" customWidth="1"/>
    <col min="16131" max="16131" width="39.7109375" style="199" customWidth="1"/>
    <col min="16132" max="16134" width="8.85546875" style="199"/>
    <col min="16135" max="16135" width="9.85546875" style="199" customWidth="1"/>
    <col min="16136" max="16136" width="11.42578125" style="199" bestFit="1" customWidth="1"/>
    <col min="16137" max="16137" width="10.85546875" style="199" customWidth="1"/>
    <col min="16138" max="16138" width="8.85546875" style="199"/>
    <col min="16139" max="16139" width="10.7109375" style="199" customWidth="1"/>
    <col min="16140" max="16140" width="10.42578125" style="199" bestFit="1" customWidth="1"/>
    <col min="16141" max="16141" width="10.28515625" style="199" customWidth="1"/>
    <col min="16142" max="16142" width="11.42578125" style="199" bestFit="1" customWidth="1"/>
    <col min="16143" max="16384" width="8.85546875" style="199"/>
  </cols>
  <sheetData>
    <row r="1" spans="1:19" ht="1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5">
      <c r="A3" s="19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35.450000000000003" customHeight="1">
      <c r="A4" s="457" t="s">
        <v>166</v>
      </c>
      <c r="B4" s="459" t="s">
        <v>167</v>
      </c>
      <c r="C4" s="455" t="s">
        <v>168</v>
      </c>
      <c r="D4" s="453" t="s">
        <v>169</v>
      </c>
      <c r="E4" s="461"/>
      <c r="F4" s="454"/>
      <c r="G4" s="453" t="s">
        <v>170</v>
      </c>
      <c r="H4" s="454"/>
      <c r="I4" s="453" t="s">
        <v>171</v>
      </c>
      <c r="J4" s="454"/>
      <c r="K4" s="453" t="s">
        <v>172</v>
      </c>
      <c r="L4" s="454"/>
      <c r="M4" s="455" t="s">
        <v>173</v>
      </c>
      <c r="N4" s="198"/>
      <c r="O4" s="198"/>
      <c r="P4" s="198"/>
      <c r="Q4" s="198"/>
      <c r="R4" s="198"/>
      <c r="S4" s="198"/>
    </row>
    <row r="5" spans="1:19" ht="60" customHeight="1">
      <c r="A5" s="458"/>
      <c r="B5" s="460"/>
      <c r="C5" s="456"/>
      <c r="D5" s="200" t="s">
        <v>174</v>
      </c>
      <c r="E5" s="200" t="s">
        <v>175</v>
      </c>
      <c r="F5" s="200" t="s">
        <v>60</v>
      </c>
      <c r="G5" s="200" t="s">
        <v>176</v>
      </c>
      <c r="H5" s="200" t="s">
        <v>60</v>
      </c>
      <c r="I5" s="200" t="s">
        <v>176</v>
      </c>
      <c r="J5" s="200" t="s">
        <v>60</v>
      </c>
      <c r="K5" s="200" t="s">
        <v>176</v>
      </c>
      <c r="L5" s="200" t="s">
        <v>60</v>
      </c>
      <c r="M5" s="456"/>
      <c r="N5" s="198"/>
      <c r="O5" s="198"/>
      <c r="P5" s="198"/>
      <c r="Q5" s="198"/>
      <c r="R5" s="198"/>
      <c r="S5" s="198"/>
    </row>
    <row r="6" spans="1:19" ht="15">
      <c r="A6" s="201">
        <v>1</v>
      </c>
      <c r="B6" s="202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  <c r="N6" s="198"/>
      <c r="O6" s="198"/>
      <c r="P6" s="198"/>
      <c r="Q6" s="198"/>
      <c r="R6" s="198"/>
      <c r="S6" s="198"/>
    </row>
    <row r="7" spans="1:19" ht="15">
      <c r="A7" s="203"/>
      <c r="B7" s="202"/>
      <c r="C7" s="203" t="s">
        <v>295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98"/>
      <c r="O7" s="198"/>
      <c r="P7" s="198"/>
      <c r="Q7" s="198"/>
      <c r="R7" s="198"/>
      <c r="S7" s="198"/>
    </row>
    <row r="8" spans="1:19" ht="15">
      <c r="A8" s="203">
        <v>1</v>
      </c>
      <c r="B8" s="202" t="s">
        <v>296</v>
      </c>
      <c r="C8" s="203" t="s">
        <v>297</v>
      </c>
      <c r="D8" s="203" t="s">
        <v>99</v>
      </c>
      <c r="E8" s="201"/>
      <c r="F8" s="201">
        <v>60</v>
      </c>
      <c r="G8" s="201"/>
      <c r="H8" s="201"/>
      <c r="I8" s="201"/>
      <c r="J8" s="201"/>
      <c r="K8" s="201"/>
      <c r="L8" s="201"/>
      <c r="M8" s="201"/>
      <c r="N8" s="198"/>
      <c r="O8" s="198"/>
      <c r="P8" s="198"/>
      <c r="Q8" s="198"/>
      <c r="R8" s="198"/>
      <c r="S8" s="198"/>
    </row>
    <row r="9" spans="1:19" ht="15">
      <c r="A9" s="203"/>
      <c r="B9" s="202"/>
      <c r="C9" s="201" t="s">
        <v>180</v>
      </c>
      <c r="D9" s="201" t="s">
        <v>18</v>
      </c>
      <c r="E9" s="201">
        <v>1</v>
      </c>
      <c r="F9" s="201">
        <f>E9*F8</f>
        <v>60</v>
      </c>
      <c r="G9" s="201"/>
      <c r="H9" s="201"/>
      <c r="I9" s="201"/>
      <c r="J9" s="201">
        <f t="shared" ref="J9" si="0">I9*F9</f>
        <v>0</v>
      </c>
      <c r="K9" s="201"/>
      <c r="L9" s="201"/>
      <c r="M9" s="201">
        <f t="shared" ref="M9:M13" si="1">L9+J9+H9</f>
        <v>0</v>
      </c>
      <c r="N9" s="198"/>
      <c r="O9" s="198"/>
      <c r="P9" s="198"/>
      <c r="Q9" s="198"/>
      <c r="R9" s="198"/>
      <c r="S9" s="198"/>
    </row>
    <row r="10" spans="1:19" ht="15">
      <c r="A10" s="203"/>
      <c r="B10" s="202"/>
      <c r="C10" s="201" t="s">
        <v>36</v>
      </c>
      <c r="D10" s="201" t="s">
        <v>25</v>
      </c>
      <c r="E10" s="201">
        <v>0.05</v>
      </c>
      <c r="F10" s="201">
        <f>E10*F8</f>
        <v>3</v>
      </c>
      <c r="G10" s="201"/>
      <c r="H10" s="201"/>
      <c r="I10" s="201"/>
      <c r="J10" s="201"/>
      <c r="K10" s="201"/>
      <c r="L10" s="204">
        <f t="shared" ref="L10" si="2">K10*F10</f>
        <v>0</v>
      </c>
      <c r="M10" s="204">
        <f t="shared" si="1"/>
        <v>0</v>
      </c>
      <c r="N10" s="198"/>
      <c r="O10" s="198"/>
      <c r="P10" s="198"/>
      <c r="Q10" s="198"/>
      <c r="R10" s="198"/>
      <c r="S10" s="198"/>
    </row>
    <row r="11" spans="1:19" ht="15">
      <c r="A11" s="203"/>
      <c r="B11" s="202" t="s">
        <v>298</v>
      </c>
      <c r="C11" s="201" t="s">
        <v>297</v>
      </c>
      <c r="D11" s="201" t="s">
        <v>99</v>
      </c>
      <c r="E11" s="201">
        <v>1</v>
      </c>
      <c r="F11" s="201">
        <f>E11*F8</f>
        <v>60</v>
      </c>
      <c r="G11" s="204"/>
      <c r="H11" s="204">
        <f t="shared" ref="H11:H13" si="3">G11*F11</f>
        <v>0</v>
      </c>
      <c r="I11" s="201"/>
      <c r="J11" s="201"/>
      <c r="K11" s="201"/>
      <c r="L11" s="201"/>
      <c r="M11" s="204">
        <f t="shared" si="1"/>
        <v>0</v>
      </c>
      <c r="N11" s="198"/>
      <c r="O11" s="198"/>
      <c r="P11" s="198"/>
      <c r="Q11" s="198"/>
      <c r="R11" s="198"/>
      <c r="S11" s="198"/>
    </row>
    <row r="12" spans="1:19" ht="15">
      <c r="A12" s="203"/>
      <c r="B12" s="202"/>
      <c r="C12" s="201" t="s">
        <v>299</v>
      </c>
      <c r="D12" s="201" t="s">
        <v>19</v>
      </c>
      <c r="E12" s="201">
        <v>1</v>
      </c>
      <c r="F12" s="201">
        <v>40</v>
      </c>
      <c r="G12" s="204"/>
      <c r="H12" s="204">
        <f t="shared" si="3"/>
        <v>0</v>
      </c>
      <c r="I12" s="201"/>
      <c r="J12" s="201"/>
      <c r="K12" s="201"/>
      <c r="L12" s="201"/>
      <c r="M12" s="204">
        <f t="shared" si="1"/>
        <v>0</v>
      </c>
      <c r="N12" s="198"/>
      <c r="O12" s="198"/>
      <c r="P12" s="198"/>
      <c r="Q12" s="198"/>
      <c r="R12" s="198"/>
      <c r="S12" s="198"/>
    </row>
    <row r="13" spans="1:19" ht="15">
      <c r="A13" s="203"/>
      <c r="B13" s="202"/>
      <c r="C13" s="201" t="s">
        <v>21</v>
      </c>
      <c r="D13" s="201" t="s">
        <v>25</v>
      </c>
      <c r="E13" s="201">
        <v>4.2500000000000003E-2</v>
      </c>
      <c r="F13" s="201">
        <f>E13*F8</f>
        <v>2.5500000000000003</v>
      </c>
      <c r="G13" s="201"/>
      <c r="H13" s="204">
        <f t="shared" si="3"/>
        <v>0</v>
      </c>
      <c r="I13" s="201"/>
      <c r="J13" s="201"/>
      <c r="K13" s="201"/>
      <c r="L13" s="201"/>
      <c r="M13" s="204">
        <f t="shared" si="1"/>
        <v>0</v>
      </c>
      <c r="N13" s="198"/>
      <c r="O13" s="198"/>
      <c r="P13" s="198"/>
      <c r="Q13" s="198"/>
      <c r="R13" s="198"/>
      <c r="S13" s="198"/>
    </row>
    <row r="14" spans="1:19" ht="15">
      <c r="A14" s="203">
        <v>2</v>
      </c>
      <c r="B14" s="202" t="s">
        <v>296</v>
      </c>
      <c r="C14" s="203" t="s">
        <v>300</v>
      </c>
      <c r="D14" s="203" t="s">
        <v>99</v>
      </c>
      <c r="E14" s="201"/>
      <c r="F14" s="201">
        <f>24+24</f>
        <v>48</v>
      </c>
      <c r="G14" s="201"/>
      <c r="H14" s="201"/>
      <c r="I14" s="201"/>
      <c r="J14" s="201"/>
      <c r="K14" s="201"/>
      <c r="L14" s="201"/>
      <c r="M14" s="201"/>
      <c r="N14" s="198"/>
      <c r="O14" s="198"/>
      <c r="P14" s="198"/>
      <c r="Q14" s="198"/>
      <c r="R14" s="198"/>
      <c r="S14" s="198"/>
    </row>
    <row r="15" spans="1:19" ht="15">
      <c r="A15" s="203"/>
      <c r="B15" s="202"/>
      <c r="C15" s="201" t="s">
        <v>180</v>
      </c>
      <c r="D15" s="201" t="s">
        <v>99</v>
      </c>
      <c r="E15" s="201">
        <v>1</v>
      </c>
      <c r="F15" s="201">
        <f>E15*F14</f>
        <v>48</v>
      </c>
      <c r="G15" s="201"/>
      <c r="H15" s="201"/>
      <c r="I15" s="201"/>
      <c r="J15" s="201">
        <f t="shared" ref="J15" si="4">I15*F15</f>
        <v>0</v>
      </c>
      <c r="K15" s="201"/>
      <c r="L15" s="201"/>
      <c r="M15" s="201">
        <f t="shared" ref="M15:M19" si="5">L15+J15+H15</f>
        <v>0</v>
      </c>
      <c r="N15" s="198"/>
      <c r="O15" s="198"/>
      <c r="P15" s="198"/>
      <c r="Q15" s="198"/>
      <c r="R15" s="198"/>
      <c r="S15" s="198"/>
    </row>
    <row r="16" spans="1:19" ht="15">
      <c r="A16" s="203"/>
      <c r="B16" s="202"/>
      <c r="C16" s="201" t="s">
        <v>36</v>
      </c>
      <c r="D16" s="201" t="s">
        <v>25</v>
      </c>
      <c r="E16" s="201">
        <v>0.05</v>
      </c>
      <c r="F16" s="201">
        <f>E16*F14</f>
        <v>2.4000000000000004</v>
      </c>
      <c r="G16" s="201"/>
      <c r="H16" s="201"/>
      <c r="I16" s="201"/>
      <c r="J16" s="201"/>
      <c r="K16" s="201"/>
      <c r="L16" s="204">
        <f t="shared" ref="L16" si="6">K16*F16</f>
        <v>0</v>
      </c>
      <c r="M16" s="204">
        <f t="shared" si="5"/>
        <v>0</v>
      </c>
      <c r="N16" s="198"/>
      <c r="O16" s="198"/>
      <c r="P16" s="198"/>
      <c r="Q16" s="198"/>
      <c r="R16" s="198"/>
      <c r="S16" s="198"/>
    </row>
    <row r="17" spans="1:19" ht="15">
      <c r="A17" s="203"/>
      <c r="B17" s="202" t="s">
        <v>301</v>
      </c>
      <c r="C17" s="201" t="s">
        <v>300</v>
      </c>
      <c r="D17" s="201" t="s">
        <v>99</v>
      </c>
      <c r="E17" s="201">
        <v>1</v>
      </c>
      <c r="F17" s="201">
        <f>E17*F14</f>
        <v>48</v>
      </c>
      <c r="G17" s="201"/>
      <c r="H17" s="201">
        <f t="shared" ref="H17:H19" si="7">G17*F17</f>
        <v>0</v>
      </c>
      <c r="I17" s="201"/>
      <c r="J17" s="201"/>
      <c r="K17" s="201"/>
      <c r="L17" s="201"/>
      <c r="M17" s="201">
        <f t="shared" si="5"/>
        <v>0</v>
      </c>
      <c r="N17" s="198"/>
      <c r="O17" s="198"/>
      <c r="P17" s="198"/>
      <c r="Q17" s="198"/>
      <c r="R17" s="198"/>
      <c r="S17" s="198"/>
    </row>
    <row r="18" spans="1:19" ht="15">
      <c r="A18" s="203"/>
      <c r="B18" s="202"/>
      <c r="C18" s="201" t="s">
        <v>302</v>
      </c>
      <c r="D18" s="201" t="s">
        <v>19</v>
      </c>
      <c r="E18" s="201">
        <v>1</v>
      </c>
      <c r="F18" s="201">
        <f>16+16</f>
        <v>32</v>
      </c>
      <c r="G18" s="204"/>
      <c r="H18" s="204">
        <f t="shared" si="7"/>
        <v>0</v>
      </c>
      <c r="I18" s="201"/>
      <c r="J18" s="201"/>
      <c r="K18" s="201"/>
      <c r="L18" s="201"/>
      <c r="M18" s="204">
        <f t="shared" si="5"/>
        <v>0</v>
      </c>
      <c r="N18" s="198"/>
      <c r="O18" s="198"/>
      <c r="P18" s="198"/>
      <c r="Q18" s="198"/>
      <c r="R18" s="198"/>
      <c r="S18" s="198"/>
    </row>
    <row r="19" spans="1:19" ht="15">
      <c r="A19" s="203"/>
      <c r="B19" s="202"/>
      <c r="C19" s="201" t="s">
        <v>21</v>
      </c>
      <c r="D19" s="201" t="s">
        <v>25</v>
      </c>
      <c r="E19" s="201">
        <v>4.2500000000000003E-2</v>
      </c>
      <c r="F19" s="201">
        <f>E19*F14</f>
        <v>2.04</v>
      </c>
      <c r="G19" s="201"/>
      <c r="H19" s="204">
        <f t="shared" si="7"/>
        <v>0</v>
      </c>
      <c r="I19" s="201"/>
      <c r="J19" s="201"/>
      <c r="K19" s="201"/>
      <c r="L19" s="201"/>
      <c r="M19" s="204">
        <f t="shared" si="5"/>
        <v>0</v>
      </c>
      <c r="N19" s="198"/>
      <c r="O19" s="198"/>
      <c r="P19" s="198"/>
      <c r="Q19" s="198"/>
      <c r="R19" s="198"/>
      <c r="S19" s="198"/>
    </row>
    <row r="20" spans="1:19" ht="15">
      <c r="A20" s="203">
        <v>3</v>
      </c>
      <c r="B20" s="202" t="s">
        <v>193</v>
      </c>
      <c r="C20" s="203" t="s">
        <v>303</v>
      </c>
      <c r="D20" s="203" t="s">
        <v>99</v>
      </c>
      <c r="E20" s="201"/>
      <c r="F20" s="201">
        <f>36+60</f>
        <v>96</v>
      </c>
      <c r="G20" s="201"/>
      <c r="H20" s="201"/>
      <c r="I20" s="201"/>
      <c r="J20" s="201"/>
      <c r="K20" s="201"/>
      <c r="L20" s="201"/>
      <c r="M20" s="201"/>
      <c r="N20" s="198"/>
      <c r="O20" s="198"/>
      <c r="P20" s="198"/>
      <c r="Q20" s="198"/>
      <c r="R20" s="198"/>
      <c r="S20" s="198"/>
    </row>
    <row r="21" spans="1:19" ht="15">
      <c r="A21" s="203"/>
      <c r="B21" s="202"/>
      <c r="C21" s="201" t="s">
        <v>180</v>
      </c>
      <c r="D21" s="201" t="s">
        <v>99</v>
      </c>
      <c r="E21" s="201">
        <v>1</v>
      </c>
      <c r="F21" s="201">
        <f>E21*F20</f>
        <v>96</v>
      </c>
      <c r="G21" s="201"/>
      <c r="H21" s="201"/>
      <c r="I21" s="201"/>
      <c r="J21" s="201">
        <f t="shared" ref="J21" si="8">I21*F21</f>
        <v>0</v>
      </c>
      <c r="K21" s="201"/>
      <c r="L21" s="201"/>
      <c r="M21" s="201">
        <f t="shared" ref="M21:M25" si="9">L21+J21+H21</f>
        <v>0</v>
      </c>
      <c r="N21" s="198"/>
      <c r="O21" s="198"/>
      <c r="P21" s="198"/>
      <c r="Q21" s="198"/>
      <c r="R21" s="198"/>
      <c r="S21" s="198"/>
    </row>
    <row r="22" spans="1:19" ht="15">
      <c r="A22" s="203"/>
      <c r="B22" s="202"/>
      <c r="C22" s="201" t="s">
        <v>36</v>
      </c>
      <c r="D22" s="201" t="s">
        <v>25</v>
      </c>
      <c r="E22" s="201">
        <v>0.05</v>
      </c>
      <c r="F22" s="201">
        <f>E22*F20</f>
        <v>4.8000000000000007</v>
      </c>
      <c r="G22" s="201"/>
      <c r="H22" s="201"/>
      <c r="I22" s="201"/>
      <c r="J22" s="201"/>
      <c r="K22" s="201"/>
      <c r="L22" s="204">
        <f t="shared" ref="L22" si="10">K22*F22</f>
        <v>0</v>
      </c>
      <c r="M22" s="204">
        <f t="shared" si="9"/>
        <v>0</v>
      </c>
      <c r="N22" s="198"/>
      <c r="O22" s="198"/>
      <c r="P22" s="198"/>
      <c r="Q22" s="198"/>
      <c r="R22" s="198"/>
      <c r="S22" s="198"/>
    </row>
    <row r="23" spans="1:19" ht="15">
      <c r="A23" s="203"/>
      <c r="B23" s="202" t="s">
        <v>304</v>
      </c>
      <c r="C23" s="201" t="s">
        <v>303</v>
      </c>
      <c r="D23" s="201" t="s">
        <v>99</v>
      </c>
      <c r="E23" s="201">
        <v>1</v>
      </c>
      <c r="F23" s="201">
        <f>E23*F20</f>
        <v>96</v>
      </c>
      <c r="G23" s="201"/>
      <c r="H23" s="201">
        <f t="shared" ref="H23:H25" si="11">G23*F23</f>
        <v>0</v>
      </c>
      <c r="I23" s="201"/>
      <c r="J23" s="201"/>
      <c r="K23" s="201"/>
      <c r="L23" s="201"/>
      <c r="M23" s="201">
        <f t="shared" si="9"/>
        <v>0</v>
      </c>
      <c r="N23" s="198"/>
      <c r="O23" s="198"/>
      <c r="P23" s="198"/>
      <c r="Q23" s="198"/>
      <c r="R23" s="198"/>
      <c r="S23" s="198"/>
    </row>
    <row r="24" spans="1:19" ht="15">
      <c r="A24" s="203"/>
      <c r="B24" s="202"/>
      <c r="C24" s="201" t="s">
        <v>305</v>
      </c>
      <c r="D24" s="201" t="s">
        <v>19</v>
      </c>
      <c r="E24" s="201">
        <v>1</v>
      </c>
      <c r="F24" s="201">
        <f>24+40</f>
        <v>64</v>
      </c>
      <c r="G24" s="204"/>
      <c r="H24" s="204">
        <f t="shared" si="11"/>
        <v>0</v>
      </c>
      <c r="I24" s="201"/>
      <c r="J24" s="201"/>
      <c r="K24" s="201"/>
      <c r="L24" s="201"/>
      <c r="M24" s="204">
        <f t="shared" si="9"/>
        <v>0</v>
      </c>
      <c r="N24" s="198"/>
      <c r="O24" s="198"/>
      <c r="P24" s="198"/>
      <c r="Q24" s="198"/>
      <c r="R24" s="198"/>
      <c r="S24" s="198"/>
    </row>
    <row r="25" spans="1:19" ht="15">
      <c r="A25" s="203"/>
      <c r="B25" s="202"/>
      <c r="C25" s="201" t="s">
        <v>21</v>
      </c>
      <c r="D25" s="201" t="s">
        <v>25</v>
      </c>
      <c r="E25" s="201">
        <v>4.7800000000000002E-2</v>
      </c>
      <c r="F25" s="201">
        <f>E25*F20</f>
        <v>4.5888</v>
      </c>
      <c r="G25" s="201"/>
      <c r="H25" s="204">
        <f t="shared" si="11"/>
        <v>0</v>
      </c>
      <c r="I25" s="201"/>
      <c r="J25" s="201"/>
      <c r="K25" s="201"/>
      <c r="L25" s="201"/>
      <c r="M25" s="204">
        <f t="shared" si="9"/>
        <v>0</v>
      </c>
      <c r="N25" s="198"/>
      <c r="O25" s="198"/>
      <c r="P25" s="198"/>
      <c r="Q25" s="198"/>
      <c r="R25" s="198"/>
      <c r="S25" s="198"/>
    </row>
    <row r="26" spans="1:19" ht="15">
      <c r="A26" s="203">
        <v>4</v>
      </c>
      <c r="B26" s="202" t="s">
        <v>306</v>
      </c>
      <c r="C26" s="203" t="s">
        <v>307</v>
      </c>
      <c r="D26" s="203" t="s">
        <v>99</v>
      </c>
      <c r="E26" s="201"/>
      <c r="F26" s="201">
        <f>32+24</f>
        <v>56</v>
      </c>
      <c r="G26" s="201"/>
      <c r="H26" s="201"/>
      <c r="I26" s="201"/>
      <c r="J26" s="201"/>
      <c r="K26" s="201"/>
      <c r="L26" s="201"/>
      <c r="M26" s="201"/>
      <c r="N26" s="198"/>
      <c r="O26" s="198"/>
      <c r="P26" s="198"/>
      <c r="Q26" s="198"/>
      <c r="R26" s="198"/>
      <c r="S26" s="198"/>
    </row>
    <row r="27" spans="1:19" ht="15">
      <c r="A27" s="203"/>
      <c r="B27" s="202"/>
      <c r="C27" s="201" t="s">
        <v>180</v>
      </c>
      <c r="D27" s="201" t="s">
        <v>99</v>
      </c>
      <c r="E27" s="201">
        <v>1</v>
      </c>
      <c r="F27" s="201">
        <f>E27*F26</f>
        <v>56</v>
      </c>
      <c r="G27" s="201"/>
      <c r="H27" s="201"/>
      <c r="I27" s="201"/>
      <c r="J27" s="201">
        <f t="shared" ref="J27" si="12">I27*F27</f>
        <v>0</v>
      </c>
      <c r="K27" s="201"/>
      <c r="L27" s="201"/>
      <c r="M27" s="201">
        <f t="shared" ref="M27:M31" si="13">L27+J27+H27</f>
        <v>0</v>
      </c>
      <c r="N27" s="198"/>
      <c r="O27" s="198"/>
      <c r="P27" s="198"/>
      <c r="Q27" s="198"/>
      <c r="R27" s="198"/>
      <c r="S27" s="198"/>
    </row>
    <row r="28" spans="1:19" ht="15">
      <c r="A28" s="203"/>
      <c r="B28" s="202"/>
      <c r="C28" s="201" t="s">
        <v>36</v>
      </c>
      <c r="D28" s="201" t="s">
        <v>25</v>
      </c>
      <c r="E28" s="201">
        <v>0.31</v>
      </c>
      <c r="F28" s="201">
        <f>E28*F26</f>
        <v>17.36</v>
      </c>
      <c r="G28" s="201"/>
      <c r="H28" s="201"/>
      <c r="I28" s="201"/>
      <c r="J28" s="201"/>
      <c r="K28" s="201"/>
      <c r="L28" s="204">
        <f t="shared" ref="L28" si="14">K28*F28</f>
        <v>0</v>
      </c>
      <c r="M28" s="204">
        <f t="shared" si="13"/>
        <v>0</v>
      </c>
      <c r="N28" s="198"/>
      <c r="O28" s="198"/>
      <c r="P28" s="198"/>
      <c r="Q28" s="198"/>
      <c r="R28" s="198"/>
      <c r="S28" s="198"/>
    </row>
    <row r="29" spans="1:19" ht="15">
      <c r="A29" s="203"/>
      <c r="B29" s="202" t="s">
        <v>308</v>
      </c>
      <c r="C29" s="201" t="s">
        <v>307</v>
      </c>
      <c r="D29" s="201" t="s">
        <v>99</v>
      </c>
      <c r="E29" s="201">
        <v>1</v>
      </c>
      <c r="F29" s="201">
        <f>E29*F26</f>
        <v>56</v>
      </c>
      <c r="G29" s="201"/>
      <c r="H29" s="201">
        <f t="shared" ref="H29:H31" si="15">G29*F29</f>
        <v>0</v>
      </c>
      <c r="I29" s="201"/>
      <c r="J29" s="201"/>
      <c r="K29" s="201"/>
      <c r="L29" s="201"/>
      <c r="M29" s="201">
        <f t="shared" si="13"/>
        <v>0</v>
      </c>
      <c r="N29" s="198"/>
      <c r="O29" s="198"/>
      <c r="P29" s="198"/>
      <c r="Q29" s="198"/>
      <c r="R29" s="198"/>
      <c r="S29" s="198"/>
    </row>
    <row r="30" spans="1:19" ht="15">
      <c r="A30" s="203"/>
      <c r="B30" s="202"/>
      <c r="C30" s="201" t="s">
        <v>309</v>
      </c>
      <c r="D30" s="201" t="s">
        <v>19</v>
      </c>
      <c r="E30" s="201">
        <v>1</v>
      </c>
      <c r="F30" s="201">
        <f>21+16</f>
        <v>37</v>
      </c>
      <c r="G30" s="204"/>
      <c r="H30" s="204">
        <f t="shared" si="15"/>
        <v>0</v>
      </c>
      <c r="I30" s="201"/>
      <c r="J30" s="201"/>
      <c r="K30" s="201"/>
      <c r="L30" s="201"/>
      <c r="M30" s="204">
        <f t="shared" si="13"/>
        <v>0</v>
      </c>
      <c r="N30" s="198"/>
      <c r="O30" s="198"/>
      <c r="P30" s="198"/>
      <c r="Q30" s="198"/>
      <c r="R30" s="198"/>
      <c r="S30" s="198"/>
    </row>
    <row r="31" spans="1:19" ht="15">
      <c r="A31" s="203"/>
      <c r="B31" s="202"/>
      <c r="C31" s="201" t="s">
        <v>21</v>
      </c>
      <c r="D31" s="201" t="s">
        <v>25</v>
      </c>
      <c r="E31" s="201">
        <v>6.5199999999999994E-2</v>
      </c>
      <c r="F31" s="201">
        <f>E31*F26</f>
        <v>3.6511999999999998</v>
      </c>
      <c r="G31" s="201"/>
      <c r="H31" s="204">
        <f t="shared" si="15"/>
        <v>0</v>
      </c>
      <c r="I31" s="201"/>
      <c r="J31" s="201"/>
      <c r="K31" s="201"/>
      <c r="L31" s="201"/>
      <c r="M31" s="204">
        <f t="shared" si="13"/>
        <v>0</v>
      </c>
      <c r="N31" s="198"/>
      <c r="O31" s="198"/>
      <c r="P31" s="198"/>
      <c r="Q31" s="198"/>
      <c r="R31" s="198"/>
      <c r="S31" s="198"/>
    </row>
    <row r="32" spans="1:19" ht="15">
      <c r="A32" s="203">
        <v>5</v>
      </c>
      <c r="B32" s="202" t="s">
        <v>306</v>
      </c>
      <c r="C32" s="203" t="s">
        <v>310</v>
      </c>
      <c r="D32" s="203" t="s">
        <v>99</v>
      </c>
      <c r="E32" s="201"/>
      <c r="F32" s="201">
        <f>60+56</f>
        <v>116</v>
      </c>
      <c r="G32" s="201"/>
      <c r="H32" s="201"/>
      <c r="I32" s="201"/>
      <c r="J32" s="201"/>
      <c r="K32" s="201"/>
      <c r="L32" s="201"/>
      <c r="M32" s="201"/>
      <c r="N32" s="198"/>
      <c r="O32" s="198"/>
      <c r="P32" s="198"/>
      <c r="Q32" s="198"/>
      <c r="R32" s="198"/>
      <c r="S32" s="198"/>
    </row>
    <row r="33" spans="1:19" ht="15">
      <c r="A33" s="203"/>
      <c r="B33" s="202"/>
      <c r="C33" s="201" t="s">
        <v>180</v>
      </c>
      <c r="D33" s="201" t="s">
        <v>99</v>
      </c>
      <c r="E33" s="201">
        <v>1</v>
      </c>
      <c r="F33" s="201">
        <f>E33*F32</f>
        <v>116</v>
      </c>
      <c r="G33" s="201"/>
      <c r="H33" s="201"/>
      <c r="I33" s="201"/>
      <c r="J33" s="201">
        <f t="shared" ref="J33" si="16">I33*F33</f>
        <v>0</v>
      </c>
      <c r="K33" s="201"/>
      <c r="L33" s="201"/>
      <c r="M33" s="201">
        <f t="shared" ref="M33:M37" si="17">L33+J33+H33</f>
        <v>0</v>
      </c>
      <c r="N33" s="198"/>
      <c r="O33" s="198"/>
      <c r="P33" s="198"/>
      <c r="Q33" s="198"/>
      <c r="R33" s="198"/>
      <c r="S33" s="198"/>
    </row>
    <row r="34" spans="1:19" ht="15">
      <c r="A34" s="203"/>
      <c r="B34" s="202"/>
      <c r="C34" s="201" t="s">
        <v>36</v>
      </c>
      <c r="D34" s="201" t="s">
        <v>25</v>
      </c>
      <c r="E34" s="201">
        <v>0.31</v>
      </c>
      <c r="F34" s="201">
        <f>E34*F32</f>
        <v>35.96</v>
      </c>
      <c r="G34" s="201"/>
      <c r="H34" s="201"/>
      <c r="I34" s="201"/>
      <c r="J34" s="201"/>
      <c r="K34" s="201"/>
      <c r="L34" s="204">
        <f t="shared" ref="L34" si="18">K34*F34</f>
        <v>0</v>
      </c>
      <c r="M34" s="204">
        <f t="shared" si="17"/>
        <v>0</v>
      </c>
      <c r="N34" s="198"/>
      <c r="O34" s="198"/>
      <c r="P34" s="198"/>
      <c r="Q34" s="198"/>
      <c r="R34" s="198"/>
      <c r="S34" s="198"/>
    </row>
    <row r="35" spans="1:19" ht="15">
      <c r="A35" s="203"/>
      <c r="B35" s="202" t="s">
        <v>311</v>
      </c>
      <c r="C35" s="201" t="s">
        <v>310</v>
      </c>
      <c r="D35" s="201" t="s">
        <v>99</v>
      </c>
      <c r="E35" s="201">
        <v>1</v>
      </c>
      <c r="F35" s="201">
        <f>E35*F32</f>
        <v>116</v>
      </c>
      <c r="G35" s="201"/>
      <c r="H35" s="201">
        <f t="shared" ref="H35:H37" si="19">G35*F35</f>
        <v>0</v>
      </c>
      <c r="I35" s="201"/>
      <c r="J35" s="201"/>
      <c r="K35" s="201"/>
      <c r="L35" s="201"/>
      <c r="M35" s="201">
        <f t="shared" si="17"/>
        <v>0</v>
      </c>
      <c r="N35" s="198"/>
      <c r="O35" s="198"/>
      <c r="P35" s="198"/>
      <c r="Q35" s="198"/>
      <c r="R35" s="198"/>
      <c r="S35" s="198"/>
    </row>
    <row r="36" spans="1:19" ht="15">
      <c r="A36" s="203"/>
      <c r="B36" s="202"/>
      <c r="C36" s="201" t="s">
        <v>312</v>
      </c>
      <c r="D36" s="201" t="s">
        <v>19</v>
      </c>
      <c r="E36" s="201">
        <v>1</v>
      </c>
      <c r="F36" s="201">
        <f>40+38</f>
        <v>78</v>
      </c>
      <c r="G36" s="204"/>
      <c r="H36" s="204">
        <f t="shared" si="19"/>
        <v>0</v>
      </c>
      <c r="I36" s="201"/>
      <c r="J36" s="201"/>
      <c r="K36" s="201"/>
      <c r="L36" s="201"/>
      <c r="M36" s="204">
        <f t="shared" si="17"/>
        <v>0</v>
      </c>
      <c r="N36" s="198"/>
      <c r="O36" s="198"/>
      <c r="P36" s="198"/>
      <c r="Q36" s="198"/>
      <c r="R36" s="198"/>
      <c r="S36" s="198"/>
    </row>
    <row r="37" spans="1:19" ht="15">
      <c r="A37" s="203"/>
      <c r="B37" s="202"/>
      <c r="C37" s="201" t="s">
        <v>21</v>
      </c>
      <c r="D37" s="201" t="s">
        <v>25</v>
      </c>
      <c r="E37" s="201">
        <v>6.5199999999999994E-2</v>
      </c>
      <c r="F37" s="201">
        <f>E37*F32</f>
        <v>7.5631999999999993</v>
      </c>
      <c r="G37" s="201"/>
      <c r="H37" s="204">
        <f t="shared" si="19"/>
        <v>0</v>
      </c>
      <c r="I37" s="201"/>
      <c r="J37" s="201"/>
      <c r="K37" s="201"/>
      <c r="L37" s="201"/>
      <c r="M37" s="204">
        <f t="shared" si="17"/>
        <v>0</v>
      </c>
      <c r="N37" s="198"/>
      <c r="O37" s="198"/>
      <c r="P37" s="198"/>
      <c r="Q37" s="198"/>
      <c r="R37" s="198"/>
      <c r="S37" s="198"/>
    </row>
    <row r="38" spans="1:19" ht="15">
      <c r="A38" s="203">
        <v>6</v>
      </c>
      <c r="B38" s="202" t="s">
        <v>313</v>
      </c>
      <c r="C38" s="203" t="s">
        <v>314</v>
      </c>
      <c r="D38" s="203" t="s">
        <v>99</v>
      </c>
      <c r="E38" s="201"/>
      <c r="F38" s="201">
        <f>56+84</f>
        <v>140</v>
      </c>
      <c r="G38" s="201"/>
      <c r="H38" s="201"/>
      <c r="I38" s="201"/>
      <c r="J38" s="201"/>
      <c r="K38" s="201"/>
      <c r="L38" s="201"/>
      <c r="M38" s="201"/>
      <c r="N38" s="198"/>
      <c r="O38" s="198"/>
      <c r="P38" s="198"/>
      <c r="Q38" s="198"/>
      <c r="R38" s="198"/>
      <c r="S38" s="198"/>
    </row>
    <row r="39" spans="1:19" ht="15">
      <c r="A39" s="203"/>
      <c r="B39" s="202"/>
      <c r="C39" s="201" t="s">
        <v>180</v>
      </c>
      <c r="D39" s="201" t="s">
        <v>99</v>
      </c>
      <c r="E39" s="201">
        <v>1</v>
      </c>
      <c r="F39" s="201">
        <f>E39*F38</f>
        <v>140</v>
      </c>
      <c r="G39" s="201"/>
      <c r="H39" s="201"/>
      <c r="I39" s="201"/>
      <c r="J39" s="201">
        <f t="shared" ref="J39" si="20">I39*F39</f>
        <v>0</v>
      </c>
      <c r="K39" s="201"/>
      <c r="L39" s="201"/>
      <c r="M39" s="201">
        <f t="shared" ref="M39:M43" si="21">L39+J39+H39</f>
        <v>0</v>
      </c>
      <c r="N39" s="198"/>
      <c r="O39" s="198"/>
      <c r="P39" s="198"/>
      <c r="Q39" s="198"/>
      <c r="R39" s="198"/>
      <c r="S39" s="198"/>
    </row>
    <row r="40" spans="1:19" ht="15">
      <c r="A40" s="203"/>
      <c r="B40" s="202"/>
      <c r="C40" s="201" t="s">
        <v>36</v>
      </c>
      <c r="D40" s="201" t="s">
        <v>25</v>
      </c>
      <c r="E40" s="201">
        <v>0.02</v>
      </c>
      <c r="F40" s="201">
        <f>E40*F38</f>
        <v>2.8000000000000003</v>
      </c>
      <c r="G40" s="201"/>
      <c r="H40" s="201"/>
      <c r="I40" s="201"/>
      <c r="J40" s="201"/>
      <c r="K40" s="201"/>
      <c r="L40" s="204">
        <f t="shared" ref="L40" si="22">K40*F40</f>
        <v>0</v>
      </c>
      <c r="M40" s="204">
        <f t="shared" si="21"/>
        <v>0</v>
      </c>
      <c r="N40" s="198"/>
      <c r="O40" s="198"/>
      <c r="P40" s="198"/>
      <c r="Q40" s="198"/>
      <c r="R40" s="198"/>
      <c r="S40" s="198"/>
    </row>
    <row r="41" spans="1:19" ht="15">
      <c r="A41" s="203"/>
      <c r="B41" s="202" t="s">
        <v>315</v>
      </c>
      <c r="C41" s="201" t="s">
        <v>314</v>
      </c>
      <c r="D41" s="201" t="s">
        <v>99</v>
      </c>
      <c r="E41" s="201">
        <v>1</v>
      </c>
      <c r="F41" s="201">
        <f>E41*F38</f>
        <v>140</v>
      </c>
      <c r="G41" s="201"/>
      <c r="H41" s="201">
        <f t="shared" ref="H41:H43" si="23">G41*F41</f>
        <v>0</v>
      </c>
      <c r="I41" s="201"/>
      <c r="J41" s="201"/>
      <c r="K41" s="201"/>
      <c r="L41" s="201"/>
      <c r="M41" s="201">
        <f t="shared" si="21"/>
        <v>0</v>
      </c>
      <c r="N41" s="198"/>
      <c r="O41" s="198"/>
      <c r="P41" s="198"/>
      <c r="Q41" s="198"/>
      <c r="R41" s="198"/>
      <c r="S41" s="198"/>
    </row>
    <row r="42" spans="1:19" ht="15">
      <c r="A42" s="203"/>
      <c r="B42" s="202"/>
      <c r="C42" s="201" t="s">
        <v>316</v>
      </c>
      <c r="D42" s="201" t="s">
        <v>19</v>
      </c>
      <c r="E42" s="201">
        <v>1</v>
      </c>
      <c r="F42" s="201">
        <f>40+56</f>
        <v>96</v>
      </c>
      <c r="G42" s="204"/>
      <c r="H42" s="204">
        <f t="shared" si="23"/>
        <v>0</v>
      </c>
      <c r="I42" s="201"/>
      <c r="J42" s="201"/>
      <c r="K42" s="201"/>
      <c r="L42" s="201"/>
      <c r="M42" s="204">
        <f t="shared" si="21"/>
        <v>0</v>
      </c>
      <c r="N42" s="198"/>
      <c r="O42" s="198"/>
      <c r="P42" s="198"/>
      <c r="Q42" s="198"/>
      <c r="R42" s="198"/>
      <c r="S42" s="198"/>
    </row>
    <row r="43" spans="1:19" ht="15">
      <c r="A43" s="203"/>
      <c r="B43" s="202"/>
      <c r="C43" s="201" t="s">
        <v>21</v>
      </c>
      <c r="D43" s="201" t="s">
        <v>25</v>
      </c>
      <c r="E43" s="201">
        <v>7.0800000000000002E-2</v>
      </c>
      <c r="F43" s="201">
        <f>E43*F38</f>
        <v>9.9120000000000008</v>
      </c>
      <c r="G43" s="201"/>
      <c r="H43" s="204">
        <f t="shared" si="23"/>
        <v>0</v>
      </c>
      <c r="I43" s="201"/>
      <c r="J43" s="201"/>
      <c r="K43" s="201"/>
      <c r="L43" s="201"/>
      <c r="M43" s="204">
        <f t="shared" si="21"/>
        <v>0</v>
      </c>
      <c r="N43" s="198"/>
      <c r="O43" s="198"/>
      <c r="P43" s="198"/>
      <c r="Q43" s="198"/>
      <c r="R43" s="198"/>
      <c r="S43" s="198"/>
    </row>
    <row r="44" spans="1:19" ht="15">
      <c r="A44" s="203">
        <v>7</v>
      </c>
      <c r="B44" s="202" t="s">
        <v>317</v>
      </c>
      <c r="C44" s="203" t="s">
        <v>318</v>
      </c>
      <c r="D44" s="203" t="s">
        <v>99</v>
      </c>
      <c r="E44" s="201"/>
      <c r="F44" s="201">
        <f>348+504</f>
        <v>852</v>
      </c>
      <c r="G44" s="201"/>
      <c r="H44" s="201"/>
      <c r="I44" s="201"/>
      <c r="J44" s="201"/>
      <c r="K44" s="201"/>
      <c r="L44" s="201"/>
      <c r="M44" s="201"/>
      <c r="N44" s="198"/>
      <c r="O44" s="198"/>
      <c r="P44" s="198"/>
      <c r="Q44" s="198"/>
      <c r="R44" s="198"/>
      <c r="S44" s="198"/>
    </row>
    <row r="45" spans="1:19" ht="15">
      <c r="A45" s="203"/>
      <c r="B45" s="202"/>
      <c r="C45" s="201" t="s">
        <v>180</v>
      </c>
      <c r="D45" s="201" t="s">
        <v>99</v>
      </c>
      <c r="E45" s="201">
        <v>1</v>
      </c>
      <c r="F45" s="201">
        <f>E45*F44</f>
        <v>852</v>
      </c>
      <c r="G45" s="201"/>
      <c r="H45" s="201"/>
      <c r="I45" s="201"/>
      <c r="J45" s="201">
        <f t="shared" ref="J45" si="24">I45*F45</f>
        <v>0</v>
      </c>
      <c r="K45" s="201"/>
      <c r="L45" s="201"/>
      <c r="M45" s="201">
        <f t="shared" ref="M45:M49" si="25">L45+J45+H45</f>
        <v>0</v>
      </c>
      <c r="N45" s="198"/>
      <c r="O45" s="198"/>
      <c r="P45" s="198"/>
      <c r="Q45" s="198"/>
      <c r="R45" s="198"/>
      <c r="S45" s="198"/>
    </row>
    <row r="46" spans="1:19" ht="15">
      <c r="A46" s="203"/>
      <c r="B46" s="202"/>
      <c r="C46" s="201" t="s">
        <v>36</v>
      </c>
      <c r="D46" s="201" t="s">
        <v>25</v>
      </c>
      <c r="E46" s="201">
        <v>0.02</v>
      </c>
      <c r="F46" s="201">
        <f>E46*F44</f>
        <v>17.04</v>
      </c>
      <c r="G46" s="201"/>
      <c r="H46" s="201"/>
      <c r="I46" s="201"/>
      <c r="J46" s="201"/>
      <c r="K46" s="201"/>
      <c r="L46" s="204">
        <f t="shared" ref="L46" si="26">K46*F46</f>
        <v>0</v>
      </c>
      <c r="M46" s="204">
        <f t="shared" si="25"/>
        <v>0</v>
      </c>
      <c r="N46" s="198"/>
      <c r="O46" s="198"/>
      <c r="P46" s="198"/>
      <c r="Q46" s="198"/>
      <c r="R46" s="198"/>
      <c r="S46" s="198"/>
    </row>
    <row r="47" spans="1:19" ht="15">
      <c r="A47" s="203"/>
      <c r="B47" s="202" t="s">
        <v>319</v>
      </c>
      <c r="C47" s="201" t="s">
        <v>318</v>
      </c>
      <c r="D47" s="201" t="s">
        <v>99</v>
      </c>
      <c r="E47" s="201">
        <v>1</v>
      </c>
      <c r="F47" s="201">
        <f>E47*F44</f>
        <v>852</v>
      </c>
      <c r="G47" s="201"/>
      <c r="H47" s="201">
        <f t="shared" ref="H47:H49" si="27">G47*F47</f>
        <v>0</v>
      </c>
      <c r="I47" s="201"/>
      <c r="J47" s="201"/>
      <c r="K47" s="201"/>
      <c r="L47" s="201"/>
      <c r="M47" s="201">
        <f t="shared" si="25"/>
        <v>0</v>
      </c>
      <c r="N47" s="198"/>
      <c r="O47" s="198"/>
      <c r="P47" s="198"/>
      <c r="Q47" s="198"/>
      <c r="R47" s="198"/>
      <c r="S47" s="198"/>
    </row>
    <row r="48" spans="1:19" ht="15">
      <c r="A48" s="203"/>
      <c r="B48" s="202"/>
      <c r="C48" s="201" t="s">
        <v>320</v>
      </c>
      <c r="D48" s="201" t="s">
        <v>19</v>
      </c>
      <c r="E48" s="201">
        <v>1</v>
      </c>
      <c r="F48" s="201">
        <f>148+330</f>
        <v>478</v>
      </c>
      <c r="G48" s="204"/>
      <c r="H48" s="204">
        <f t="shared" si="27"/>
        <v>0</v>
      </c>
      <c r="I48" s="201"/>
      <c r="J48" s="201"/>
      <c r="K48" s="201"/>
      <c r="L48" s="201"/>
      <c r="M48" s="204">
        <f t="shared" si="25"/>
        <v>0</v>
      </c>
      <c r="N48" s="198"/>
      <c r="O48" s="198"/>
      <c r="P48" s="198"/>
      <c r="Q48" s="198"/>
      <c r="R48" s="198"/>
      <c r="S48" s="198"/>
    </row>
    <row r="49" spans="1:19" ht="15">
      <c r="A49" s="203"/>
      <c r="B49" s="202"/>
      <c r="C49" s="201" t="s">
        <v>21</v>
      </c>
      <c r="D49" s="201" t="s">
        <v>25</v>
      </c>
      <c r="E49" s="201">
        <v>3.9300000000000002E-2</v>
      </c>
      <c r="F49" s="201">
        <f>E49*F44</f>
        <v>33.483600000000003</v>
      </c>
      <c r="G49" s="201"/>
      <c r="H49" s="204">
        <f t="shared" si="27"/>
        <v>0</v>
      </c>
      <c r="I49" s="201"/>
      <c r="J49" s="201"/>
      <c r="K49" s="201"/>
      <c r="L49" s="201"/>
      <c r="M49" s="204">
        <f t="shared" si="25"/>
        <v>0</v>
      </c>
      <c r="N49" s="198"/>
      <c r="O49" s="198"/>
      <c r="P49" s="198"/>
      <c r="Q49" s="198"/>
      <c r="R49" s="198"/>
      <c r="S49" s="198"/>
    </row>
    <row r="50" spans="1:19" ht="15">
      <c r="A50" s="203">
        <v>8</v>
      </c>
      <c r="B50" s="202" t="s">
        <v>321</v>
      </c>
      <c r="C50" s="203" t="s">
        <v>322</v>
      </c>
      <c r="D50" s="203" t="s">
        <v>99</v>
      </c>
      <c r="E50" s="201"/>
      <c r="F50" s="201">
        <f>636+690</f>
        <v>1326</v>
      </c>
      <c r="G50" s="201"/>
      <c r="H50" s="201"/>
      <c r="I50" s="201"/>
      <c r="J50" s="201"/>
      <c r="K50" s="201"/>
      <c r="L50" s="201"/>
      <c r="M50" s="201"/>
      <c r="N50" s="198"/>
      <c r="O50" s="198"/>
      <c r="P50" s="198"/>
      <c r="Q50" s="198"/>
      <c r="R50" s="198"/>
      <c r="S50" s="198"/>
    </row>
    <row r="51" spans="1:19" ht="15">
      <c r="A51" s="203"/>
      <c r="B51" s="202"/>
      <c r="C51" s="201" t="s">
        <v>180</v>
      </c>
      <c r="D51" s="201" t="s">
        <v>99</v>
      </c>
      <c r="E51" s="201">
        <v>1</v>
      </c>
      <c r="F51" s="201">
        <f>E51*F50</f>
        <v>1326</v>
      </c>
      <c r="G51" s="201"/>
      <c r="H51" s="201"/>
      <c r="I51" s="201"/>
      <c r="J51" s="201">
        <f t="shared" ref="J51" si="28">I51*F51</f>
        <v>0</v>
      </c>
      <c r="K51" s="201"/>
      <c r="L51" s="201"/>
      <c r="M51" s="201">
        <f t="shared" ref="M51:M55" si="29">L51+J51+H51</f>
        <v>0</v>
      </c>
      <c r="N51" s="198"/>
      <c r="O51" s="198"/>
      <c r="P51" s="198"/>
      <c r="Q51" s="198"/>
      <c r="R51" s="198"/>
      <c r="S51" s="198"/>
    </row>
    <row r="52" spans="1:19" ht="15">
      <c r="A52" s="203"/>
      <c r="B52" s="202"/>
      <c r="C52" s="201" t="s">
        <v>36</v>
      </c>
      <c r="D52" s="201" t="s">
        <v>25</v>
      </c>
      <c r="E52" s="201">
        <v>0.03</v>
      </c>
      <c r="F52" s="201">
        <f>E52*F50</f>
        <v>39.78</v>
      </c>
      <c r="G52" s="201"/>
      <c r="H52" s="201"/>
      <c r="I52" s="201"/>
      <c r="J52" s="201"/>
      <c r="K52" s="201"/>
      <c r="L52" s="204">
        <f t="shared" ref="L52" si="30">K52*F52</f>
        <v>0</v>
      </c>
      <c r="M52" s="204">
        <f t="shared" si="29"/>
        <v>0</v>
      </c>
      <c r="N52" s="198"/>
      <c r="O52" s="198"/>
      <c r="P52" s="198"/>
      <c r="Q52" s="198"/>
      <c r="R52" s="198"/>
      <c r="S52" s="198"/>
    </row>
    <row r="53" spans="1:19" ht="15">
      <c r="A53" s="203"/>
      <c r="B53" s="202" t="s">
        <v>323</v>
      </c>
      <c r="C53" s="201" t="s">
        <v>322</v>
      </c>
      <c r="D53" s="201" t="s">
        <v>99</v>
      </c>
      <c r="E53" s="201">
        <v>1</v>
      </c>
      <c r="F53" s="201">
        <f>E53*F50</f>
        <v>1326</v>
      </c>
      <c r="G53" s="201"/>
      <c r="H53" s="201">
        <f t="shared" ref="H53:H55" si="31">G53*F53</f>
        <v>0</v>
      </c>
      <c r="I53" s="201"/>
      <c r="J53" s="201"/>
      <c r="K53" s="201"/>
      <c r="L53" s="201"/>
      <c r="M53" s="201">
        <f t="shared" si="29"/>
        <v>0</v>
      </c>
      <c r="N53" s="198"/>
      <c r="O53" s="198"/>
      <c r="P53" s="198"/>
      <c r="Q53" s="198"/>
      <c r="R53" s="198"/>
      <c r="S53" s="198"/>
    </row>
    <row r="54" spans="1:19" ht="15">
      <c r="A54" s="203"/>
      <c r="B54" s="202"/>
      <c r="C54" s="201" t="s">
        <v>324</v>
      </c>
      <c r="D54" s="201" t="s">
        <v>19</v>
      </c>
      <c r="E54" s="201">
        <v>1</v>
      </c>
      <c r="F54" s="201">
        <f>230+385</f>
        <v>615</v>
      </c>
      <c r="G54" s="204"/>
      <c r="H54" s="204">
        <f t="shared" si="31"/>
        <v>0</v>
      </c>
      <c r="I54" s="201"/>
      <c r="J54" s="201"/>
      <c r="K54" s="201"/>
      <c r="L54" s="201"/>
      <c r="M54" s="204">
        <f t="shared" si="29"/>
        <v>0</v>
      </c>
      <c r="N54" s="198"/>
      <c r="O54" s="198"/>
      <c r="P54" s="198"/>
      <c r="Q54" s="198"/>
      <c r="R54" s="198"/>
      <c r="S54" s="198"/>
    </row>
    <row r="55" spans="1:19" ht="15">
      <c r="A55" s="203"/>
      <c r="B55" s="202"/>
      <c r="C55" s="201" t="s">
        <v>21</v>
      </c>
      <c r="D55" s="201" t="s">
        <v>25</v>
      </c>
      <c r="E55" s="201">
        <v>3.9300000000000002E-2</v>
      </c>
      <c r="F55" s="201">
        <f>E55*F50</f>
        <v>52.111800000000002</v>
      </c>
      <c r="G55" s="201"/>
      <c r="H55" s="204">
        <f t="shared" si="31"/>
        <v>0</v>
      </c>
      <c r="I55" s="201"/>
      <c r="J55" s="201"/>
      <c r="K55" s="201"/>
      <c r="L55" s="201"/>
      <c r="M55" s="204">
        <f t="shared" si="29"/>
        <v>0</v>
      </c>
      <c r="N55" s="198"/>
      <c r="O55" s="198"/>
      <c r="P55" s="198"/>
      <c r="Q55" s="198"/>
      <c r="R55" s="198"/>
      <c r="S55" s="198"/>
    </row>
    <row r="56" spans="1:19" ht="15">
      <c r="A56" s="203">
        <v>9</v>
      </c>
      <c r="B56" s="202" t="s">
        <v>195</v>
      </c>
      <c r="C56" s="203" t="s">
        <v>196</v>
      </c>
      <c r="D56" s="203" t="s">
        <v>19</v>
      </c>
      <c r="E56" s="201"/>
      <c r="F56" s="201">
        <f>SUM(F59:F99)</f>
        <v>2233.1000000000004</v>
      </c>
      <c r="G56" s="201"/>
      <c r="H56" s="201"/>
      <c r="I56" s="201"/>
      <c r="J56" s="201"/>
      <c r="K56" s="201"/>
      <c r="L56" s="201"/>
      <c r="M56" s="201"/>
      <c r="N56" s="198"/>
      <c r="O56" s="198"/>
      <c r="P56" s="198"/>
      <c r="Q56" s="198"/>
      <c r="R56" s="198"/>
      <c r="S56" s="198"/>
    </row>
    <row r="57" spans="1:19" ht="15">
      <c r="A57" s="203"/>
      <c r="B57" s="202"/>
      <c r="C57" s="201" t="s">
        <v>180</v>
      </c>
      <c r="D57" s="201" t="s">
        <v>19</v>
      </c>
      <c r="E57" s="201">
        <v>1</v>
      </c>
      <c r="F57" s="201">
        <f>E57*F56</f>
        <v>2233.1000000000004</v>
      </c>
      <c r="G57" s="201"/>
      <c r="H57" s="201"/>
      <c r="I57" s="201"/>
      <c r="J57" s="201">
        <f t="shared" ref="J57" si="32">I57*F57</f>
        <v>0</v>
      </c>
      <c r="K57" s="201"/>
      <c r="L57" s="201"/>
      <c r="M57" s="201">
        <f t="shared" ref="M57:M100" si="33">L57+J57+H57</f>
        <v>0</v>
      </c>
      <c r="N57" s="198"/>
      <c r="O57" s="198"/>
      <c r="P57" s="198"/>
      <c r="Q57" s="198"/>
      <c r="R57" s="198"/>
      <c r="S57" s="198"/>
    </row>
    <row r="58" spans="1:19" ht="15">
      <c r="A58" s="203"/>
      <c r="B58" s="202"/>
      <c r="C58" s="201" t="s">
        <v>36</v>
      </c>
      <c r="D58" s="201" t="s">
        <v>25</v>
      </c>
      <c r="E58" s="201">
        <v>0.30199999999999999</v>
      </c>
      <c r="F58" s="201">
        <f>E58*F56</f>
        <v>674.39620000000014</v>
      </c>
      <c r="G58" s="201"/>
      <c r="H58" s="201"/>
      <c r="I58" s="201"/>
      <c r="J58" s="201"/>
      <c r="K58" s="201"/>
      <c r="L58" s="204">
        <f t="shared" ref="L58" si="34">K58*F58</f>
        <v>0</v>
      </c>
      <c r="M58" s="204">
        <f t="shared" si="33"/>
        <v>0</v>
      </c>
      <c r="N58" s="198"/>
      <c r="O58" s="198"/>
      <c r="P58" s="198"/>
      <c r="Q58" s="198"/>
      <c r="R58" s="198"/>
      <c r="S58" s="198"/>
    </row>
    <row r="59" spans="1:19" ht="15">
      <c r="A59" s="203"/>
      <c r="B59" s="202" t="s">
        <v>325</v>
      </c>
      <c r="C59" s="201" t="s">
        <v>326</v>
      </c>
      <c r="D59" s="201" t="s">
        <v>19</v>
      </c>
      <c r="E59" s="201">
        <v>1</v>
      </c>
      <c r="F59" s="236">
        <v>4</v>
      </c>
      <c r="G59" s="204"/>
      <c r="H59" s="204">
        <f t="shared" ref="H59:H100" si="35">G59*F59</f>
        <v>0</v>
      </c>
      <c r="I59" s="201"/>
      <c r="J59" s="201"/>
      <c r="K59" s="201"/>
      <c r="L59" s="201"/>
      <c r="M59" s="204">
        <f t="shared" si="33"/>
        <v>0</v>
      </c>
      <c r="N59" s="198"/>
      <c r="O59" s="198"/>
      <c r="P59" s="198"/>
      <c r="Q59" s="198"/>
      <c r="R59" s="198"/>
      <c r="S59" s="198"/>
    </row>
    <row r="60" spans="1:19" ht="15">
      <c r="A60" s="203"/>
      <c r="B60" s="202" t="s">
        <v>199</v>
      </c>
      <c r="C60" s="201" t="s">
        <v>327</v>
      </c>
      <c r="D60" s="201" t="s">
        <v>19</v>
      </c>
      <c r="E60" s="201">
        <v>1</v>
      </c>
      <c r="F60" s="236">
        <v>1</v>
      </c>
      <c r="G60" s="204"/>
      <c r="H60" s="204">
        <f t="shared" si="35"/>
        <v>0</v>
      </c>
      <c r="I60" s="201"/>
      <c r="J60" s="201"/>
      <c r="K60" s="201"/>
      <c r="L60" s="201"/>
      <c r="M60" s="204">
        <f t="shared" si="33"/>
        <v>0</v>
      </c>
      <c r="N60" s="198"/>
      <c r="O60" s="198"/>
      <c r="P60" s="198"/>
      <c r="Q60" s="198"/>
      <c r="R60" s="198"/>
      <c r="S60" s="198"/>
    </row>
    <row r="61" spans="1:19" ht="15">
      <c r="A61" s="203"/>
      <c r="B61" s="202" t="s">
        <v>328</v>
      </c>
      <c r="C61" s="201" t="s">
        <v>329</v>
      </c>
      <c r="D61" s="201" t="s">
        <v>19</v>
      </c>
      <c r="E61" s="201">
        <v>1</v>
      </c>
      <c r="F61" s="236">
        <f>4+2</f>
        <v>6</v>
      </c>
      <c r="G61" s="204"/>
      <c r="H61" s="204">
        <f t="shared" si="35"/>
        <v>0</v>
      </c>
      <c r="I61" s="201"/>
      <c r="J61" s="201"/>
      <c r="K61" s="201"/>
      <c r="L61" s="201"/>
      <c r="M61" s="204">
        <f t="shared" si="33"/>
        <v>0</v>
      </c>
      <c r="N61" s="198"/>
      <c r="O61" s="198"/>
      <c r="P61" s="198"/>
      <c r="Q61" s="198"/>
      <c r="R61" s="198"/>
      <c r="S61" s="198"/>
    </row>
    <row r="62" spans="1:19" ht="15">
      <c r="A62" s="203"/>
      <c r="B62" s="202" t="s">
        <v>330</v>
      </c>
      <c r="C62" s="201" t="s">
        <v>331</v>
      </c>
      <c r="D62" s="201" t="s">
        <v>19</v>
      </c>
      <c r="E62" s="201">
        <v>1</v>
      </c>
      <c r="F62" s="236">
        <f>3.3+2</f>
        <v>5.3</v>
      </c>
      <c r="G62" s="204"/>
      <c r="H62" s="204">
        <f t="shared" si="35"/>
        <v>0</v>
      </c>
      <c r="I62" s="201"/>
      <c r="J62" s="201"/>
      <c r="K62" s="201"/>
      <c r="L62" s="201"/>
      <c r="M62" s="204">
        <f t="shared" si="33"/>
        <v>0</v>
      </c>
      <c r="N62" s="198"/>
      <c r="O62" s="198"/>
      <c r="P62" s="198"/>
      <c r="Q62" s="198"/>
      <c r="R62" s="198"/>
      <c r="S62" s="198"/>
    </row>
    <row r="63" spans="1:19" ht="15">
      <c r="A63" s="203"/>
      <c r="B63" s="202" t="s">
        <v>332</v>
      </c>
      <c r="C63" s="201" t="s">
        <v>333</v>
      </c>
      <c r="D63" s="201" t="s">
        <v>19</v>
      </c>
      <c r="E63" s="201">
        <v>1</v>
      </c>
      <c r="F63" s="236">
        <f>1.1+2</f>
        <v>3.1</v>
      </c>
      <c r="G63" s="204"/>
      <c r="H63" s="204">
        <f t="shared" si="35"/>
        <v>0</v>
      </c>
      <c r="I63" s="201"/>
      <c r="J63" s="201"/>
      <c r="K63" s="201"/>
      <c r="L63" s="201"/>
      <c r="M63" s="204">
        <f t="shared" si="33"/>
        <v>0</v>
      </c>
      <c r="N63" s="198"/>
      <c r="O63" s="198"/>
      <c r="P63" s="198"/>
      <c r="Q63" s="198"/>
      <c r="R63" s="198"/>
      <c r="S63" s="198"/>
    </row>
    <row r="64" spans="1:19" ht="15">
      <c r="A64" s="203"/>
      <c r="B64" s="202" t="s">
        <v>334</v>
      </c>
      <c r="C64" s="201" t="s">
        <v>335</v>
      </c>
      <c r="D64" s="201" t="s">
        <v>19</v>
      </c>
      <c r="E64" s="201">
        <v>1</v>
      </c>
      <c r="F64" s="236">
        <f>3.3+4</f>
        <v>7.3</v>
      </c>
      <c r="G64" s="204"/>
      <c r="H64" s="204">
        <f t="shared" si="35"/>
        <v>0</v>
      </c>
      <c r="I64" s="201"/>
      <c r="J64" s="201"/>
      <c r="K64" s="201"/>
      <c r="L64" s="201"/>
      <c r="M64" s="204">
        <f t="shared" si="33"/>
        <v>0</v>
      </c>
      <c r="N64" s="198"/>
      <c r="O64" s="198"/>
      <c r="P64" s="198"/>
      <c r="Q64" s="198"/>
      <c r="R64" s="198"/>
      <c r="S64" s="198"/>
    </row>
    <row r="65" spans="1:19" ht="15">
      <c r="A65" s="203"/>
      <c r="B65" s="202" t="s">
        <v>336</v>
      </c>
      <c r="C65" s="201" t="s">
        <v>337</v>
      </c>
      <c r="D65" s="201" t="s">
        <v>19</v>
      </c>
      <c r="E65" s="201">
        <v>1</v>
      </c>
      <c r="F65" s="236">
        <f>8.8+9</f>
        <v>17.8</v>
      </c>
      <c r="G65" s="204"/>
      <c r="H65" s="204">
        <f t="shared" si="35"/>
        <v>0</v>
      </c>
      <c r="I65" s="201"/>
      <c r="J65" s="201"/>
      <c r="K65" s="201"/>
      <c r="L65" s="201"/>
      <c r="M65" s="204">
        <f t="shared" si="33"/>
        <v>0</v>
      </c>
      <c r="N65" s="198"/>
      <c r="O65" s="198"/>
      <c r="P65" s="198"/>
      <c r="Q65" s="198"/>
      <c r="R65" s="198"/>
      <c r="S65" s="198"/>
    </row>
    <row r="66" spans="1:19" ht="15">
      <c r="A66" s="203"/>
      <c r="B66" s="202" t="s">
        <v>336</v>
      </c>
      <c r="C66" s="201" t="s">
        <v>338</v>
      </c>
      <c r="D66" s="201" t="s">
        <v>19</v>
      </c>
      <c r="E66" s="201">
        <v>1</v>
      </c>
      <c r="F66" s="236">
        <f>3.3+3</f>
        <v>6.3</v>
      </c>
      <c r="G66" s="204"/>
      <c r="H66" s="204">
        <f t="shared" si="35"/>
        <v>0</v>
      </c>
      <c r="I66" s="201"/>
      <c r="J66" s="201"/>
      <c r="K66" s="201"/>
      <c r="L66" s="201"/>
      <c r="M66" s="204">
        <f t="shared" si="33"/>
        <v>0</v>
      </c>
      <c r="N66" s="198"/>
      <c r="O66" s="198"/>
      <c r="P66" s="198"/>
      <c r="Q66" s="198"/>
      <c r="R66" s="198"/>
      <c r="S66" s="198"/>
    </row>
    <row r="67" spans="1:19" ht="15">
      <c r="A67" s="203"/>
      <c r="B67" s="202" t="s">
        <v>339</v>
      </c>
      <c r="C67" s="201" t="s">
        <v>340</v>
      </c>
      <c r="D67" s="201" t="s">
        <v>19</v>
      </c>
      <c r="E67" s="201">
        <v>1</v>
      </c>
      <c r="F67" s="236">
        <f>8+11</f>
        <v>19</v>
      </c>
      <c r="G67" s="204"/>
      <c r="H67" s="204">
        <f t="shared" si="35"/>
        <v>0</v>
      </c>
      <c r="I67" s="201"/>
      <c r="J67" s="201"/>
      <c r="K67" s="201"/>
      <c r="L67" s="201"/>
      <c r="M67" s="204">
        <f t="shared" si="33"/>
        <v>0</v>
      </c>
      <c r="N67" s="198"/>
      <c r="O67" s="198"/>
      <c r="P67" s="198"/>
      <c r="Q67" s="198"/>
      <c r="R67" s="198"/>
      <c r="S67" s="198"/>
    </row>
    <row r="68" spans="1:19" ht="15">
      <c r="A68" s="203"/>
      <c r="B68" s="202" t="s">
        <v>339</v>
      </c>
      <c r="C68" s="201" t="s">
        <v>341</v>
      </c>
      <c r="D68" s="201" t="s">
        <v>19</v>
      </c>
      <c r="E68" s="201">
        <v>1</v>
      </c>
      <c r="F68" s="236">
        <f>5+5</f>
        <v>10</v>
      </c>
      <c r="G68" s="204"/>
      <c r="H68" s="204">
        <f t="shared" si="35"/>
        <v>0</v>
      </c>
      <c r="I68" s="201"/>
      <c r="J68" s="201"/>
      <c r="K68" s="201"/>
      <c r="L68" s="201"/>
      <c r="M68" s="204">
        <f t="shared" si="33"/>
        <v>0</v>
      </c>
      <c r="N68" s="198"/>
      <c r="O68" s="198"/>
      <c r="P68" s="198"/>
      <c r="Q68" s="198"/>
      <c r="R68" s="198"/>
      <c r="S68" s="198"/>
    </row>
    <row r="69" spans="1:19" ht="15">
      <c r="A69" s="203"/>
      <c r="B69" s="202" t="s">
        <v>342</v>
      </c>
      <c r="C69" s="201" t="s">
        <v>343</v>
      </c>
      <c r="D69" s="201" t="s">
        <v>19</v>
      </c>
      <c r="E69" s="201">
        <v>1</v>
      </c>
      <c r="F69" s="236">
        <f>27+25</f>
        <v>52</v>
      </c>
      <c r="G69" s="204"/>
      <c r="H69" s="204">
        <f t="shared" si="35"/>
        <v>0</v>
      </c>
      <c r="I69" s="201"/>
      <c r="J69" s="201"/>
      <c r="K69" s="201"/>
      <c r="L69" s="201"/>
      <c r="M69" s="204">
        <f t="shared" si="33"/>
        <v>0</v>
      </c>
      <c r="N69" s="198"/>
      <c r="O69" s="198"/>
      <c r="P69" s="198"/>
      <c r="Q69" s="198"/>
      <c r="R69" s="198"/>
      <c r="S69" s="198"/>
    </row>
    <row r="70" spans="1:19" ht="15">
      <c r="A70" s="203"/>
      <c r="B70" s="202" t="s">
        <v>344</v>
      </c>
      <c r="C70" s="201" t="s">
        <v>345</v>
      </c>
      <c r="D70" s="201" t="s">
        <v>19</v>
      </c>
      <c r="E70" s="201">
        <v>1</v>
      </c>
      <c r="F70" s="236">
        <f>125+132</f>
        <v>257</v>
      </c>
      <c r="G70" s="204"/>
      <c r="H70" s="204">
        <f t="shared" si="35"/>
        <v>0</v>
      </c>
      <c r="I70" s="201"/>
      <c r="J70" s="201"/>
      <c r="K70" s="201"/>
      <c r="L70" s="201"/>
      <c r="M70" s="204">
        <f t="shared" si="33"/>
        <v>0</v>
      </c>
      <c r="N70" s="198"/>
      <c r="O70" s="198"/>
      <c r="P70" s="198"/>
      <c r="Q70" s="198"/>
      <c r="R70" s="198"/>
      <c r="S70" s="198"/>
    </row>
    <row r="71" spans="1:19" ht="15">
      <c r="A71" s="203"/>
      <c r="B71" s="202" t="s">
        <v>346</v>
      </c>
      <c r="C71" s="201" t="s">
        <v>347</v>
      </c>
      <c r="D71" s="201" t="s">
        <v>19</v>
      </c>
      <c r="E71" s="201">
        <v>1</v>
      </c>
      <c r="F71" s="236">
        <f>21+40</f>
        <v>61</v>
      </c>
      <c r="G71" s="204"/>
      <c r="H71" s="204">
        <f t="shared" si="35"/>
        <v>0</v>
      </c>
      <c r="I71" s="201"/>
      <c r="J71" s="201"/>
      <c r="K71" s="201"/>
      <c r="L71" s="201"/>
      <c r="M71" s="204">
        <f t="shared" si="33"/>
        <v>0</v>
      </c>
      <c r="N71" s="198"/>
      <c r="O71" s="198"/>
      <c r="P71" s="198"/>
      <c r="Q71" s="198"/>
      <c r="R71" s="198"/>
      <c r="S71" s="198"/>
    </row>
    <row r="72" spans="1:19" ht="30">
      <c r="A72" s="203"/>
      <c r="B72" s="202"/>
      <c r="C72" s="201" t="s">
        <v>348</v>
      </c>
      <c r="D72" s="201" t="s">
        <v>19</v>
      </c>
      <c r="E72" s="201">
        <v>1</v>
      </c>
      <c r="F72" s="236">
        <v>18</v>
      </c>
      <c r="G72" s="204"/>
      <c r="H72" s="204">
        <f t="shared" si="35"/>
        <v>0</v>
      </c>
      <c r="I72" s="201"/>
      <c r="J72" s="201"/>
      <c r="K72" s="201"/>
      <c r="L72" s="201"/>
      <c r="M72" s="204">
        <f t="shared" si="33"/>
        <v>0</v>
      </c>
      <c r="N72" s="198"/>
      <c r="O72" s="198"/>
      <c r="P72" s="198"/>
      <c r="Q72" s="198"/>
      <c r="R72" s="198"/>
      <c r="S72" s="198"/>
    </row>
    <row r="73" spans="1:19" ht="15">
      <c r="A73" s="203"/>
      <c r="B73" s="202"/>
      <c r="C73" s="201" t="s">
        <v>349</v>
      </c>
      <c r="D73" s="201" t="s">
        <v>19</v>
      </c>
      <c r="E73" s="201">
        <v>1</v>
      </c>
      <c r="F73" s="236">
        <f>6+72</f>
        <v>78</v>
      </c>
      <c r="G73" s="204"/>
      <c r="H73" s="204">
        <f t="shared" si="35"/>
        <v>0</v>
      </c>
      <c r="I73" s="201"/>
      <c r="J73" s="201"/>
      <c r="K73" s="201"/>
      <c r="L73" s="201"/>
      <c r="M73" s="204">
        <f t="shared" si="33"/>
        <v>0</v>
      </c>
      <c r="N73" s="198"/>
      <c r="O73" s="198"/>
      <c r="P73" s="198"/>
      <c r="Q73" s="198"/>
      <c r="R73" s="198"/>
      <c r="S73" s="198"/>
    </row>
    <row r="74" spans="1:19" ht="15.75">
      <c r="A74" s="203"/>
      <c r="B74" s="202" t="s">
        <v>350</v>
      </c>
      <c r="C74" s="201" t="s">
        <v>351</v>
      </c>
      <c r="D74" s="201" t="s">
        <v>19</v>
      </c>
      <c r="E74" s="201">
        <v>1</v>
      </c>
      <c r="F74" s="236">
        <v>18</v>
      </c>
      <c r="G74" s="204"/>
      <c r="H74" s="204">
        <f t="shared" si="35"/>
        <v>0</v>
      </c>
      <c r="I74" s="201"/>
      <c r="J74" s="201"/>
      <c r="K74" s="201"/>
      <c r="L74" s="201"/>
      <c r="M74" s="204">
        <f t="shared" si="33"/>
        <v>0</v>
      </c>
      <c r="N74" s="198"/>
      <c r="O74" s="198"/>
      <c r="P74" s="198"/>
      <c r="Q74" s="198"/>
      <c r="R74" s="198"/>
      <c r="S74" s="198"/>
    </row>
    <row r="75" spans="1:19" ht="15.75">
      <c r="A75" s="203"/>
      <c r="B75" s="202" t="s">
        <v>352</v>
      </c>
      <c r="C75" s="201" t="s">
        <v>353</v>
      </c>
      <c r="D75" s="201" t="s">
        <v>19</v>
      </c>
      <c r="E75" s="201">
        <v>1</v>
      </c>
      <c r="F75" s="236">
        <f>6+3</f>
        <v>9</v>
      </c>
      <c r="G75" s="204"/>
      <c r="H75" s="204">
        <f t="shared" si="35"/>
        <v>0</v>
      </c>
      <c r="I75" s="201"/>
      <c r="J75" s="201"/>
      <c r="K75" s="201"/>
      <c r="L75" s="201"/>
      <c r="M75" s="204">
        <f t="shared" si="33"/>
        <v>0</v>
      </c>
      <c r="N75" s="198"/>
      <c r="O75" s="198"/>
      <c r="P75" s="198"/>
      <c r="Q75" s="198"/>
      <c r="R75" s="198"/>
      <c r="S75" s="198"/>
    </row>
    <row r="76" spans="1:19" ht="15.75">
      <c r="A76" s="203"/>
      <c r="B76" s="202" t="s">
        <v>354</v>
      </c>
      <c r="C76" s="201" t="s">
        <v>355</v>
      </c>
      <c r="D76" s="201" t="s">
        <v>19</v>
      </c>
      <c r="E76" s="201">
        <v>1</v>
      </c>
      <c r="F76" s="236">
        <f>5+6</f>
        <v>11</v>
      </c>
      <c r="G76" s="204"/>
      <c r="H76" s="204">
        <f t="shared" si="35"/>
        <v>0</v>
      </c>
      <c r="I76" s="201"/>
      <c r="J76" s="201"/>
      <c r="K76" s="201"/>
      <c r="L76" s="201"/>
      <c r="M76" s="204">
        <f t="shared" si="33"/>
        <v>0</v>
      </c>
      <c r="N76" s="198"/>
      <c r="O76" s="198"/>
      <c r="P76" s="198"/>
      <c r="Q76" s="198"/>
      <c r="R76" s="198"/>
      <c r="S76" s="198"/>
    </row>
    <row r="77" spans="1:19" ht="15.75">
      <c r="A77" s="203"/>
      <c r="B77" s="202" t="s">
        <v>356</v>
      </c>
      <c r="C77" s="201" t="s">
        <v>357</v>
      </c>
      <c r="D77" s="201" t="s">
        <v>19</v>
      </c>
      <c r="E77" s="201">
        <v>1</v>
      </c>
      <c r="F77" s="236">
        <f>4+7</f>
        <v>11</v>
      </c>
      <c r="G77" s="204"/>
      <c r="H77" s="204">
        <f t="shared" si="35"/>
        <v>0</v>
      </c>
      <c r="I77" s="201"/>
      <c r="J77" s="201"/>
      <c r="K77" s="201"/>
      <c r="L77" s="201"/>
      <c r="M77" s="204">
        <f t="shared" si="33"/>
        <v>0</v>
      </c>
      <c r="N77" s="198"/>
      <c r="O77" s="198"/>
      <c r="P77" s="198"/>
      <c r="Q77" s="198"/>
      <c r="R77" s="198"/>
      <c r="S77" s="198"/>
    </row>
    <row r="78" spans="1:19" ht="15.75">
      <c r="A78" s="203"/>
      <c r="B78" s="202" t="s">
        <v>358</v>
      </c>
      <c r="C78" s="201" t="s">
        <v>359</v>
      </c>
      <c r="D78" s="201" t="s">
        <v>19</v>
      </c>
      <c r="E78" s="201">
        <v>1</v>
      </c>
      <c r="F78" s="236">
        <f>2.2+6</f>
        <v>8.1999999999999993</v>
      </c>
      <c r="G78" s="204"/>
      <c r="H78" s="204">
        <f t="shared" si="35"/>
        <v>0</v>
      </c>
      <c r="I78" s="201"/>
      <c r="J78" s="201"/>
      <c r="K78" s="201"/>
      <c r="L78" s="201"/>
      <c r="M78" s="204">
        <f t="shared" si="33"/>
        <v>0</v>
      </c>
      <c r="N78" s="198"/>
      <c r="O78" s="198"/>
      <c r="P78" s="198"/>
      <c r="Q78" s="198"/>
      <c r="R78" s="198"/>
      <c r="S78" s="198"/>
    </row>
    <row r="79" spans="1:19" ht="15.75">
      <c r="A79" s="203"/>
      <c r="B79" s="202" t="s">
        <v>360</v>
      </c>
      <c r="C79" s="201" t="s">
        <v>361</v>
      </c>
      <c r="D79" s="201" t="s">
        <v>19</v>
      </c>
      <c r="E79" s="201">
        <v>1</v>
      </c>
      <c r="F79" s="236">
        <f>7+13</f>
        <v>20</v>
      </c>
      <c r="G79" s="204"/>
      <c r="H79" s="204">
        <f t="shared" si="35"/>
        <v>0</v>
      </c>
      <c r="I79" s="201"/>
      <c r="J79" s="201"/>
      <c r="K79" s="201"/>
      <c r="L79" s="201"/>
      <c r="M79" s="204">
        <f t="shared" si="33"/>
        <v>0</v>
      </c>
      <c r="N79" s="198"/>
      <c r="O79" s="198"/>
      <c r="P79" s="198"/>
      <c r="Q79" s="198"/>
      <c r="R79" s="198"/>
      <c r="S79" s="198"/>
    </row>
    <row r="80" spans="1:19" ht="15.75">
      <c r="A80" s="203"/>
      <c r="B80" s="202" t="s">
        <v>362</v>
      </c>
      <c r="C80" s="201" t="s">
        <v>363</v>
      </c>
      <c r="D80" s="201" t="s">
        <v>19</v>
      </c>
      <c r="E80" s="201">
        <v>1</v>
      </c>
      <c r="F80" s="236">
        <f>244+262</f>
        <v>506</v>
      </c>
      <c r="G80" s="204"/>
      <c r="H80" s="204">
        <f t="shared" si="35"/>
        <v>0</v>
      </c>
      <c r="I80" s="201"/>
      <c r="J80" s="201"/>
      <c r="K80" s="201"/>
      <c r="L80" s="201"/>
      <c r="M80" s="204">
        <f t="shared" si="33"/>
        <v>0</v>
      </c>
      <c r="N80" s="198"/>
      <c r="O80" s="198"/>
      <c r="P80" s="198"/>
      <c r="Q80" s="198"/>
      <c r="R80" s="198"/>
      <c r="S80" s="198"/>
    </row>
    <row r="81" spans="1:19" ht="15.75">
      <c r="A81" s="203"/>
      <c r="B81" s="202" t="s">
        <v>364</v>
      </c>
      <c r="C81" s="201" t="s">
        <v>365</v>
      </c>
      <c r="D81" s="201" t="s">
        <v>19</v>
      </c>
      <c r="E81" s="201">
        <v>1</v>
      </c>
      <c r="F81" s="236">
        <f>428+391</f>
        <v>819</v>
      </c>
      <c r="G81" s="204"/>
      <c r="H81" s="204">
        <f t="shared" si="35"/>
        <v>0</v>
      </c>
      <c r="I81" s="201"/>
      <c r="J81" s="201"/>
      <c r="K81" s="201"/>
      <c r="L81" s="201"/>
      <c r="M81" s="204">
        <f t="shared" si="33"/>
        <v>0</v>
      </c>
      <c r="N81" s="198"/>
      <c r="O81" s="198"/>
      <c r="P81" s="198"/>
      <c r="Q81" s="198"/>
      <c r="R81" s="198"/>
      <c r="S81" s="198"/>
    </row>
    <row r="82" spans="1:19" ht="15.75">
      <c r="A82" s="203"/>
      <c r="B82" s="202" t="s">
        <v>366</v>
      </c>
      <c r="C82" s="201" t="s">
        <v>367</v>
      </c>
      <c r="D82" s="201" t="s">
        <v>19</v>
      </c>
      <c r="E82" s="201">
        <v>1</v>
      </c>
      <c r="F82" s="236">
        <v>2.2000000000000002</v>
      </c>
      <c r="G82" s="204"/>
      <c r="H82" s="204">
        <f t="shared" si="35"/>
        <v>0</v>
      </c>
      <c r="I82" s="201"/>
      <c r="J82" s="201"/>
      <c r="K82" s="201"/>
      <c r="L82" s="201"/>
      <c r="M82" s="204">
        <f t="shared" si="33"/>
        <v>0</v>
      </c>
      <c r="N82" s="198"/>
      <c r="O82" s="198"/>
      <c r="P82" s="198"/>
      <c r="Q82" s="198"/>
      <c r="R82" s="198"/>
      <c r="S82" s="198"/>
    </row>
    <row r="83" spans="1:19" ht="15.75">
      <c r="A83" s="203"/>
      <c r="B83" s="202" t="s">
        <v>368</v>
      </c>
      <c r="C83" s="201" t="s">
        <v>369</v>
      </c>
      <c r="D83" s="201" t="s">
        <v>19</v>
      </c>
      <c r="E83" s="201">
        <v>1</v>
      </c>
      <c r="F83" s="236">
        <f>3+1</f>
        <v>4</v>
      </c>
      <c r="G83" s="204"/>
      <c r="H83" s="204">
        <f t="shared" si="35"/>
        <v>0</v>
      </c>
      <c r="I83" s="201"/>
      <c r="J83" s="201"/>
      <c r="K83" s="201"/>
      <c r="L83" s="201"/>
      <c r="M83" s="204">
        <f t="shared" si="33"/>
        <v>0</v>
      </c>
      <c r="N83" s="198"/>
      <c r="O83" s="198"/>
      <c r="P83" s="198"/>
      <c r="Q83" s="198"/>
      <c r="R83" s="198"/>
      <c r="S83" s="198"/>
    </row>
    <row r="84" spans="1:19" ht="15.75">
      <c r="A84" s="203"/>
      <c r="B84" s="202" t="s">
        <v>370</v>
      </c>
      <c r="C84" s="201" t="s">
        <v>371</v>
      </c>
      <c r="D84" s="201" t="s">
        <v>19</v>
      </c>
      <c r="E84" s="201">
        <v>1</v>
      </c>
      <c r="F84" s="236">
        <f>2.2+3</f>
        <v>5.2</v>
      </c>
      <c r="G84" s="204"/>
      <c r="H84" s="204">
        <f t="shared" si="35"/>
        <v>0</v>
      </c>
      <c r="I84" s="201"/>
      <c r="J84" s="201"/>
      <c r="K84" s="201"/>
      <c r="L84" s="201"/>
      <c r="M84" s="204">
        <f t="shared" si="33"/>
        <v>0</v>
      </c>
      <c r="N84" s="198"/>
      <c r="O84" s="198"/>
      <c r="P84" s="198"/>
      <c r="Q84" s="198"/>
      <c r="R84" s="198"/>
      <c r="S84" s="198"/>
    </row>
    <row r="85" spans="1:19" ht="15.75">
      <c r="A85" s="203"/>
      <c r="B85" s="202" t="s">
        <v>372</v>
      </c>
      <c r="C85" s="201" t="s">
        <v>373</v>
      </c>
      <c r="D85" s="201" t="s">
        <v>19</v>
      </c>
      <c r="E85" s="201">
        <v>1</v>
      </c>
      <c r="F85" s="236">
        <f>2.2+3</f>
        <v>5.2</v>
      </c>
      <c r="G85" s="204"/>
      <c r="H85" s="204">
        <f t="shared" si="35"/>
        <v>0</v>
      </c>
      <c r="I85" s="201"/>
      <c r="J85" s="201"/>
      <c r="K85" s="201"/>
      <c r="L85" s="201"/>
      <c r="M85" s="204">
        <f t="shared" si="33"/>
        <v>0</v>
      </c>
      <c r="N85" s="198"/>
      <c r="O85" s="198"/>
      <c r="P85" s="198"/>
      <c r="Q85" s="198"/>
      <c r="R85" s="198"/>
      <c r="S85" s="198"/>
    </row>
    <row r="86" spans="1:19" ht="15.75">
      <c r="A86" s="203"/>
      <c r="B86" s="202" t="s">
        <v>374</v>
      </c>
      <c r="C86" s="201" t="s">
        <v>375</v>
      </c>
      <c r="D86" s="201" t="s">
        <v>19</v>
      </c>
      <c r="E86" s="201">
        <v>1</v>
      </c>
      <c r="F86" s="236">
        <f>4.4+2</f>
        <v>6.4</v>
      </c>
      <c r="G86" s="204"/>
      <c r="H86" s="204">
        <f t="shared" si="35"/>
        <v>0</v>
      </c>
      <c r="I86" s="201"/>
      <c r="J86" s="201"/>
      <c r="K86" s="201"/>
      <c r="L86" s="201"/>
      <c r="M86" s="204">
        <f t="shared" si="33"/>
        <v>0</v>
      </c>
      <c r="N86" s="198"/>
      <c r="O86" s="198"/>
      <c r="P86" s="198"/>
      <c r="Q86" s="198"/>
      <c r="R86" s="198"/>
      <c r="S86" s="198"/>
    </row>
    <row r="87" spans="1:19" ht="15.75">
      <c r="A87" s="203"/>
      <c r="B87" s="202" t="s">
        <v>376</v>
      </c>
      <c r="C87" s="201" t="s">
        <v>377</v>
      </c>
      <c r="D87" s="201" t="s">
        <v>19</v>
      </c>
      <c r="E87" s="201">
        <v>1</v>
      </c>
      <c r="F87" s="236">
        <f>8.8+10</f>
        <v>18.8</v>
      </c>
      <c r="G87" s="204"/>
      <c r="H87" s="204">
        <f t="shared" si="35"/>
        <v>0</v>
      </c>
      <c r="I87" s="201"/>
      <c r="J87" s="201"/>
      <c r="K87" s="201"/>
      <c r="L87" s="201"/>
      <c r="M87" s="204">
        <f t="shared" si="33"/>
        <v>0</v>
      </c>
      <c r="N87" s="198"/>
      <c r="O87" s="198"/>
      <c r="P87" s="198"/>
      <c r="Q87" s="198"/>
      <c r="R87" s="198"/>
      <c r="S87" s="198"/>
    </row>
    <row r="88" spans="1:19" ht="15.75">
      <c r="A88" s="203"/>
      <c r="B88" s="202" t="s">
        <v>378</v>
      </c>
      <c r="C88" s="201" t="s">
        <v>379</v>
      </c>
      <c r="D88" s="201" t="s">
        <v>19</v>
      </c>
      <c r="E88" s="201">
        <v>1</v>
      </c>
      <c r="F88" s="236">
        <f>15.4+16</f>
        <v>31.4</v>
      </c>
      <c r="G88" s="204"/>
      <c r="H88" s="204">
        <f t="shared" si="35"/>
        <v>0</v>
      </c>
      <c r="I88" s="201"/>
      <c r="J88" s="201"/>
      <c r="K88" s="201"/>
      <c r="L88" s="201"/>
      <c r="M88" s="204">
        <f t="shared" si="33"/>
        <v>0</v>
      </c>
      <c r="N88" s="198"/>
      <c r="O88" s="198"/>
      <c r="P88" s="198"/>
      <c r="Q88" s="198"/>
      <c r="R88" s="198"/>
      <c r="S88" s="198"/>
    </row>
    <row r="89" spans="1:19" ht="15">
      <c r="A89" s="203"/>
      <c r="B89" s="202"/>
      <c r="C89" s="201" t="s">
        <v>380</v>
      </c>
      <c r="D89" s="201" t="s">
        <v>19</v>
      </c>
      <c r="E89" s="201">
        <v>1</v>
      </c>
      <c r="F89" s="236">
        <v>1.1000000000000001</v>
      </c>
      <c r="G89" s="204"/>
      <c r="H89" s="204">
        <f t="shared" si="35"/>
        <v>0</v>
      </c>
      <c r="I89" s="201"/>
      <c r="J89" s="201"/>
      <c r="K89" s="201"/>
      <c r="L89" s="201"/>
      <c r="M89" s="204">
        <f t="shared" si="33"/>
        <v>0</v>
      </c>
      <c r="N89" s="198"/>
      <c r="O89" s="198"/>
      <c r="P89" s="198"/>
      <c r="Q89" s="198"/>
      <c r="R89" s="198"/>
      <c r="S89" s="198"/>
    </row>
    <row r="90" spans="1:19" ht="15">
      <c r="A90" s="203"/>
      <c r="B90" s="202" t="s">
        <v>381</v>
      </c>
      <c r="C90" s="201" t="s">
        <v>382</v>
      </c>
      <c r="D90" s="201" t="s">
        <v>19</v>
      </c>
      <c r="E90" s="201">
        <v>1</v>
      </c>
      <c r="F90" s="236">
        <v>1.1000000000000001</v>
      </c>
      <c r="G90" s="204"/>
      <c r="H90" s="204">
        <f t="shared" si="35"/>
        <v>0</v>
      </c>
      <c r="I90" s="201"/>
      <c r="J90" s="201"/>
      <c r="K90" s="201"/>
      <c r="L90" s="201"/>
      <c r="M90" s="204">
        <f t="shared" si="33"/>
        <v>0</v>
      </c>
      <c r="N90" s="198"/>
      <c r="O90" s="198"/>
      <c r="P90" s="198"/>
      <c r="Q90" s="198"/>
      <c r="R90" s="198"/>
      <c r="S90" s="198"/>
    </row>
    <row r="91" spans="1:19" ht="15">
      <c r="A91" s="203"/>
      <c r="B91" s="202" t="s">
        <v>383</v>
      </c>
      <c r="C91" s="201" t="s">
        <v>384</v>
      </c>
      <c r="D91" s="201" t="s">
        <v>19</v>
      </c>
      <c r="E91" s="201">
        <v>1</v>
      </c>
      <c r="F91" s="236">
        <f>3+2+2</f>
        <v>7</v>
      </c>
      <c r="G91" s="204"/>
      <c r="H91" s="204">
        <f t="shared" si="35"/>
        <v>0</v>
      </c>
      <c r="I91" s="201"/>
      <c r="J91" s="201"/>
      <c r="K91" s="201"/>
      <c r="L91" s="201"/>
      <c r="M91" s="204">
        <f t="shared" si="33"/>
        <v>0</v>
      </c>
      <c r="N91" s="198"/>
      <c r="O91" s="198"/>
      <c r="P91" s="198"/>
      <c r="Q91" s="198"/>
      <c r="R91" s="198"/>
      <c r="S91" s="198"/>
    </row>
    <row r="92" spans="1:19" ht="15">
      <c r="A92" s="203"/>
      <c r="B92" s="202" t="s">
        <v>385</v>
      </c>
      <c r="C92" s="201" t="s">
        <v>386</v>
      </c>
      <c r="D92" s="201" t="s">
        <v>19</v>
      </c>
      <c r="E92" s="201">
        <v>1</v>
      </c>
      <c r="F92" s="236">
        <f>1.1+1.1</f>
        <v>2.2000000000000002</v>
      </c>
      <c r="G92" s="204"/>
      <c r="H92" s="204">
        <f t="shared" si="35"/>
        <v>0</v>
      </c>
      <c r="I92" s="201"/>
      <c r="J92" s="201"/>
      <c r="K92" s="201"/>
      <c r="L92" s="201"/>
      <c r="M92" s="204">
        <f t="shared" si="33"/>
        <v>0</v>
      </c>
      <c r="N92" s="198"/>
      <c r="O92" s="198"/>
      <c r="P92" s="198"/>
      <c r="Q92" s="198"/>
      <c r="R92" s="198"/>
      <c r="S92" s="198"/>
    </row>
    <row r="93" spans="1:19" ht="15">
      <c r="A93" s="203"/>
      <c r="B93" s="202"/>
      <c r="C93" s="201" t="s">
        <v>387</v>
      </c>
      <c r="D93" s="201" t="s">
        <v>19</v>
      </c>
      <c r="E93" s="201">
        <v>1</v>
      </c>
      <c r="F93" s="236">
        <f>2.2+1</f>
        <v>3.2</v>
      </c>
      <c r="G93" s="204"/>
      <c r="H93" s="204">
        <f t="shared" si="35"/>
        <v>0</v>
      </c>
      <c r="I93" s="201"/>
      <c r="J93" s="201"/>
      <c r="K93" s="201"/>
      <c r="L93" s="201"/>
      <c r="M93" s="204">
        <f t="shared" si="33"/>
        <v>0</v>
      </c>
      <c r="N93" s="198"/>
      <c r="O93" s="198"/>
      <c r="P93" s="198"/>
      <c r="Q93" s="198"/>
      <c r="R93" s="198"/>
      <c r="S93" s="198"/>
    </row>
    <row r="94" spans="1:19" ht="15">
      <c r="A94" s="203"/>
      <c r="B94" s="202"/>
      <c r="C94" s="201" t="s">
        <v>388</v>
      </c>
      <c r="D94" s="201" t="s">
        <v>19</v>
      </c>
      <c r="E94" s="201">
        <v>1</v>
      </c>
      <c r="F94" s="236">
        <f>4+5</f>
        <v>9</v>
      </c>
      <c r="G94" s="204"/>
      <c r="H94" s="204">
        <f t="shared" si="35"/>
        <v>0</v>
      </c>
      <c r="I94" s="201"/>
      <c r="J94" s="201"/>
      <c r="K94" s="201"/>
      <c r="L94" s="201"/>
      <c r="M94" s="204">
        <f t="shared" si="33"/>
        <v>0</v>
      </c>
      <c r="N94" s="198"/>
      <c r="O94" s="198"/>
      <c r="P94" s="198"/>
      <c r="Q94" s="198"/>
      <c r="R94" s="198"/>
      <c r="S94" s="198"/>
    </row>
    <row r="95" spans="1:19" ht="15">
      <c r="A95" s="203"/>
      <c r="B95" s="202"/>
      <c r="C95" s="201" t="s">
        <v>389</v>
      </c>
      <c r="D95" s="201" t="s">
        <v>19</v>
      </c>
      <c r="E95" s="201">
        <v>1</v>
      </c>
      <c r="F95" s="236">
        <f>1.1+3+2</f>
        <v>6.1</v>
      </c>
      <c r="G95" s="204"/>
      <c r="H95" s="204">
        <f t="shared" si="35"/>
        <v>0</v>
      </c>
      <c r="I95" s="201"/>
      <c r="J95" s="201"/>
      <c r="K95" s="201"/>
      <c r="L95" s="201"/>
      <c r="M95" s="204">
        <f t="shared" si="33"/>
        <v>0</v>
      </c>
      <c r="N95" s="198"/>
      <c r="O95" s="198"/>
      <c r="P95" s="198"/>
      <c r="Q95" s="198"/>
      <c r="R95" s="198"/>
      <c r="S95" s="198"/>
    </row>
    <row r="96" spans="1:19" ht="15">
      <c r="A96" s="203"/>
      <c r="B96" s="202"/>
      <c r="C96" s="201" t="s">
        <v>390</v>
      </c>
      <c r="D96" s="201" t="s">
        <v>19</v>
      </c>
      <c r="E96" s="201">
        <v>1</v>
      </c>
      <c r="F96" s="236">
        <f>3.3+6</f>
        <v>9.3000000000000007</v>
      </c>
      <c r="G96" s="204"/>
      <c r="H96" s="204">
        <f t="shared" si="35"/>
        <v>0</v>
      </c>
      <c r="I96" s="201"/>
      <c r="J96" s="201"/>
      <c r="K96" s="201"/>
      <c r="L96" s="201"/>
      <c r="M96" s="204">
        <f t="shared" si="33"/>
        <v>0</v>
      </c>
      <c r="N96" s="198"/>
      <c r="O96" s="198"/>
      <c r="P96" s="198"/>
      <c r="Q96" s="198"/>
      <c r="R96" s="198"/>
      <c r="S96" s="198"/>
    </row>
    <row r="97" spans="1:19" ht="15">
      <c r="A97" s="203"/>
      <c r="B97" s="202" t="s">
        <v>391</v>
      </c>
      <c r="C97" s="201" t="s">
        <v>392</v>
      </c>
      <c r="D97" s="201" t="s">
        <v>19</v>
      </c>
      <c r="E97" s="201">
        <v>1</v>
      </c>
      <c r="F97" s="236">
        <f>1.1+2</f>
        <v>3.1</v>
      </c>
      <c r="G97" s="204"/>
      <c r="H97" s="204">
        <f t="shared" si="35"/>
        <v>0</v>
      </c>
      <c r="I97" s="201"/>
      <c r="J97" s="201"/>
      <c r="K97" s="201"/>
      <c r="L97" s="201"/>
      <c r="M97" s="204">
        <f t="shared" si="33"/>
        <v>0</v>
      </c>
      <c r="N97" s="198"/>
      <c r="O97" s="198"/>
      <c r="P97" s="198"/>
      <c r="Q97" s="198"/>
      <c r="R97" s="198"/>
      <c r="S97" s="198"/>
    </row>
    <row r="98" spans="1:19" ht="15">
      <c r="A98" s="203"/>
      <c r="B98" s="202" t="s">
        <v>393</v>
      </c>
      <c r="C98" s="201" t="s">
        <v>394</v>
      </c>
      <c r="D98" s="201" t="s">
        <v>19</v>
      </c>
      <c r="E98" s="201">
        <v>1</v>
      </c>
      <c r="F98" s="236">
        <f>5.5+9.5</f>
        <v>15</v>
      </c>
      <c r="G98" s="204"/>
      <c r="H98" s="204">
        <f t="shared" si="35"/>
        <v>0</v>
      </c>
      <c r="I98" s="201"/>
      <c r="J98" s="201"/>
      <c r="K98" s="201"/>
      <c r="L98" s="201"/>
      <c r="M98" s="204">
        <f t="shared" si="33"/>
        <v>0</v>
      </c>
      <c r="N98" s="198"/>
      <c r="O98" s="198"/>
      <c r="P98" s="198"/>
      <c r="Q98" s="198"/>
      <c r="R98" s="198"/>
      <c r="S98" s="198"/>
    </row>
    <row r="99" spans="1:19" ht="15">
      <c r="A99" s="203"/>
      <c r="B99" s="202" t="s">
        <v>395</v>
      </c>
      <c r="C99" s="201" t="s">
        <v>396</v>
      </c>
      <c r="D99" s="201" t="s">
        <v>19</v>
      </c>
      <c r="E99" s="201">
        <v>1</v>
      </c>
      <c r="F99" s="236">
        <f>74.8+80</f>
        <v>154.80000000000001</v>
      </c>
      <c r="G99" s="204"/>
      <c r="H99" s="204">
        <f t="shared" si="35"/>
        <v>0</v>
      </c>
      <c r="I99" s="201"/>
      <c r="J99" s="201"/>
      <c r="K99" s="201"/>
      <c r="L99" s="201"/>
      <c r="M99" s="204">
        <f t="shared" si="33"/>
        <v>0</v>
      </c>
      <c r="N99" s="198"/>
      <c r="O99" s="198"/>
      <c r="P99" s="198"/>
      <c r="Q99" s="198"/>
      <c r="R99" s="198"/>
      <c r="S99" s="198"/>
    </row>
    <row r="100" spans="1:19" ht="15">
      <c r="A100" s="203"/>
      <c r="B100" s="202"/>
      <c r="C100" s="201" t="s">
        <v>21</v>
      </c>
      <c r="D100" s="201" t="s">
        <v>25</v>
      </c>
      <c r="E100" s="201">
        <v>2.4E-2</v>
      </c>
      <c r="F100" s="204">
        <f>E100*F56</f>
        <v>53.594400000000007</v>
      </c>
      <c r="G100" s="201"/>
      <c r="H100" s="204">
        <f t="shared" si="35"/>
        <v>0</v>
      </c>
      <c r="I100" s="201"/>
      <c r="J100" s="201"/>
      <c r="K100" s="201"/>
      <c r="L100" s="201"/>
      <c r="M100" s="204">
        <f t="shared" si="33"/>
        <v>0</v>
      </c>
      <c r="N100" s="198"/>
      <c r="O100" s="198"/>
      <c r="P100" s="198"/>
      <c r="Q100" s="198"/>
      <c r="R100" s="198"/>
      <c r="S100" s="198"/>
    </row>
    <row r="101" spans="1:19" ht="15">
      <c r="A101" s="203">
        <v>10</v>
      </c>
      <c r="B101" s="202" t="s">
        <v>251</v>
      </c>
      <c r="C101" s="203" t="s">
        <v>196</v>
      </c>
      <c r="D101" s="203" t="s">
        <v>19</v>
      </c>
      <c r="E101" s="201"/>
      <c r="F101" s="201">
        <f>F104+F105+F106+F107+F108+F109</f>
        <v>44</v>
      </c>
      <c r="G101" s="201"/>
      <c r="H101" s="201"/>
      <c r="I101" s="201"/>
      <c r="J101" s="201"/>
      <c r="K101" s="201"/>
      <c r="L101" s="201"/>
      <c r="M101" s="201"/>
      <c r="N101" s="198"/>
      <c r="O101" s="198"/>
      <c r="P101" s="198"/>
      <c r="Q101" s="198"/>
      <c r="R101" s="198"/>
      <c r="S101" s="198"/>
    </row>
    <row r="102" spans="1:19" ht="15">
      <c r="A102" s="203"/>
      <c r="B102" s="202"/>
      <c r="C102" s="201" t="s">
        <v>180</v>
      </c>
      <c r="D102" s="201" t="s">
        <v>18</v>
      </c>
      <c r="E102" s="201">
        <v>1</v>
      </c>
      <c r="F102" s="201">
        <f>E102*F101</f>
        <v>44</v>
      </c>
      <c r="G102" s="201"/>
      <c r="H102" s="201"/>
      <c r="I102" s="201"/>
      <c r="J102" s="201">
        <f t="shared" ref="J102" si="36">I102*F102</f>
        <v>0</v>
      </c>
      <c r="K102" s="201"/>
      <c r="L102" s="201"/>
      <c r="M102" s="201">
        <f t="shared" ref="M102:M123" si="37">L102+J102+H102</f>
        <v>0</v>
      </c>
      <c r="N102" s="198"/>
      <c r="O102" s="198"/>
      <c r="P102" s="198"/>
      <c r="Q102" s="198"/>
      <c r="R102" s="198"/>
      <c r="S102" s="198"/>
    </row>
    <row r="103" spans="1:19" ht="15">
      <c r="A103" s="203"/>
      <c r="B103" s="202"/>
      <c r="C103" s="201" t="s">
        <v>36</v>
      </c>
      <c r="D103" s="201" t="s">
        <v>25</v>
      </c>
      <c r="E103" s="201">
        <v>0.13</v>
      </c>
      <c r="F103" s="201">
        <f>E103*F101</f>
        <v>5.7200000000000006</v>
      </c>
      <c r="G103" s="201"/>
      <c r="H103" s="201"/>
      <c r="I103" s="201"/>
      <c r="J103" s="201"/>
      <c r="K103" s="201"/>
      <c r="L103" s="204">
        <f t="shared" ref="L103" si="38">K103*F103</f>
        <v>0</v>
      </c>
      <c r="M103" s="204">
        <f t="shared" si="37"/>
        <v>0</v>
      </c>
      <c r="N103" s="198"/>
      <c r="O103" s="198"/>
      <c r="P103" s="198"/>
      <c r="Q103" s="198"/>
      <c r="R103" s="198"/>
      <c r="S103" s="198"/>
    </row>
    <row r="104" spans="1:19" ht="15">
      <c r="A104" s="203"/>
      <c r="B104" s="202" t="s">
        <v>397</v>
      </c>
      <c r="C104" s="201" t="s">
        <v>398</v>
      </c>
      <c r="D104" s="201" t="s">
        <v>19</v>
      </c>
      <c r="E104" s="201"/>
      <c r="F104" s="201">
        <v>5</v>
      </c>
      <c r="G104" s="204"/>
      <c r="H104" s="204">
        <f t="shared" ref="H104:H123" si="39">G104*F104</f>
        <v>0</v>
      </c>
      <c r="I104" s="201"/>
      <c r="J104" s="201"/>
      <c r="K104" s="201"/>
      <c r="L104" s="201"/>
      <c r="M104" s="204">
        <f t="shared" si="37"/>
        <v>0</v>
      </c>
      <c r="N104" s="198"/>
      <c r="O104" s="198"/>
      <c r="P104" s="198"/>
      <c r="Q104" s="198"/>
      <c r="R104" s="198"/>
      <c r="S104" s="198"/>
    </row>
    <row r="105" spans="1:19" ht="15">
      <c r="A105" s="203"/>
      <c r="B105" s="202" t="s">
        <v>399</v>
      </c>
      <c r="C105" s="201" t="s">
        <v>400</v>
      </c>
      <c r="D105" s="201" t="s">
        <v>19</v>
      </c>
      <c r="E105" s="201"/>
      <c r="F105" s="201">
        <f>1+1</f>
        <v>2</v>
      </c>
      <c r="G105" s="204"/>
      <c r="H105" s="204">
        <f t="shared" si="39"/>
        <v>0</v>
      </c>
      <c r="I105" s="201"/>
      <c r="J105" s="201"/>
      <c r="K105" s="201"/>
      <c r="L105" s="201"/>
      <c r="M105" s="204">
        <f t="shared" si="37"/>
        <v>0</v>
      </c>
      <c r="N105" s="198"/>
      <c r="O105" s="198"/>
      <c r="P105" s="198"/>
      <c r="Q105" s="198"/>
      <c r="R105" s="198"/>
      <c r="S105" s="198"/>
    </row>
    <row r="106" spans="1:19" ht="15">
      <c r="A106" s="203"/>
      <c r="B106" s="202" t="s">
        <v>401</v>
      </c>
      <c r="C106" s="201" t="s">
        <v>402</v>
      </c>
      <c r="D106" s="201" t="s">
        <v>19</v>
      </c>
      <c r="E106" s="201"/>
      <c r="F106" s="201">
        <f>2+2</f>
        <v>4</v>
      </c>
      <c r="G106" s="204"/>
      <c r="H106" s="204">
        <f t="shared" si="39"/>
        <v>0</v>
      </c>
      <c r="I106" s="201"/>
      <c r="J106" s="201"/>
      <c r="K106" s="201"/>
      <c r="L106" s="201"/>
      <c r="M106" s="204">
        <f t="shared" si="37"/>
        <v>0</v>
      </c>
      <c r="N106" s="198"/>
      <c r="O106" s="198"/>
      <c r="P106" s="198"/>
      <c r="Q106" s="198"/>
      <c r="R106" s="198"/>
      <c r="S106" s="198"/>
    </row>
    <row r="107" spans="1:19" ht="15">
      <c r="A107" s="203"/>
      <c r="B107" s="202" t="s">
        <v>403</v>
      </c>
      <c r="C107" s="201" t="s">
        <v>404</v>
      </c>
      <c r="D107" s="201" t="s">
        <v>19</v>
      </c>
      <c r="E107" s="201"/>
      <c r="F107" s="201">
        <v>3</v>
      </c>
      <c r="G107" s="204"/>
      <c r="H107" s="204">
        <f t="shared" si="39"/>
        <v>0</v>
      </c>
      <c r="I107" s="201"/>
      <c r="J107" s="201"/>
      <c r="K107" s="201"/>
      <c r="L107" s="201"/>
      <c r="M107" s="204">
        <f t="shared" si="37"/>
        <v>0</v>
      </c>
      <c r="N107" s="198"/>
      <c r="O107" s="198"/>
      <c r="P107" s="198"/>
      <c r="Q107" s="198"/>
      <c r="R107" s="198"/>
      <c r="S107" s="198"/>
    </row>
    <row r="108" spans="1:19" ht="15">
      <c r="A108" s="203"/>
      <c r="B108" s="202" t="s">
        <v>405</v>
      </c>
      <c r="C108" s="201" t="s">
        <v>406</v>
      </c>
      <c r="D108" s="201" t="s">
        <v>19</v>
      </c>
      <c r="E108" s="201"/>
      <c r="F108" s="201">
        <f>4+4</f>
        <v>8</v>
      </c>
      <c r="G108" s="204"/>
      <c r="H108" s="204">
        <f t="shared" si="39"/>
        <v>0</v>
      </c>
      <c r="I108" s="201"/>
      <c r="J108" s="201"/>
      <c r="K108" s="201"/>
      <c r="L108" s="201"/>
      <c r="M108" s="204">
        <f t="shared" si="37"/>
        <v>0</v>
      </c>
      <c r="N108" s="198"/>
      <c r="O108" s="198"/>
      <c r="P108" s="198"/>
      <c r="Q108" s="198"/>
      <c r="R108" s="198"/>
      <c r="S108" s="198"/>
    </row>
    <row r="109" spans="1:19" ht="15">
      <c r="A109" s="203"/>
      <c r="B109" s="202" t="s">
        <v>407</v>
      </c>
      <c r="C109" s="201" t="s">
        <v>408</v>
      </c>
      <c r="D109" s="201" t="s">
        <v>19</v>
      </c>
      <c r="E109" s="201"/>
      <c r="F109" s="201">
        <f>8+14</f>
        <v>22</v>
      </c>
      <c r="G109" s="204"/>
      <c r="H109" s="204">
        <f t="shared" si="39"/>
        <v>0</v>
      </c>
      <c r="I109" s="201"/>
      <c r="J109" s="201"/>
      <c r="K109" s="201"/>
      <c r="L109" s="201"/>
      <c r="M109" s="204">
        <f t="shared" si="37"/>
        <v>0</v>
      </c>
      <c r="N109" s="198"/>
      <c r="O109" s="198"/>
      <c r="P109" s="198"/>
      <c r="Q109" s="198"/>
      <c r="R109" s="198"/>
      <c r="S109" s="198"/>
    </row>
    <row r="110" spans="1:19" ht="15">
      <c r="A110" s="203"/>
      <c r="B110" s="202" t="s">
        <v>409</v>
      </c>
      <c r="C110" s="201" t="s">
        <v>410</v>
      </c>
      <c r="D110" s="201" t="s">
        <v>19</v>
      </c>
      <c r="E110" s="201"/>
      <c r="F110" s="201">
        <f>1+1</f>
        <v>2</v>
      </c>
      <c r="G110" s="204"/>
      <c r="H110" s="204">
        <f t="shared" si="39"/>
        <v>0</v>
      </c>
      <c r="I110" s="201"/>
      <c r="J110" s="201"/>
      <c r="K110" s="201"/>
      <c r="L110" s="201"/>
      <c r="M110" s="204">
        <f t="shared" si="37"/>
        <v>0</v>
      </c>
      <c r="N110" s="198"/>
      <c r="O110" s="198"/>
      <c r="P110" s="198"/>
      <c r="Q110" s="198"/>
      <c r="R110" s="198"/>
      <c r="S110" s="198"/>
    </row>
    <row r="111" spans="1:19" ht="15">
      <c r="A111" s="203"/>
      <c r="B111" s="202" t="s">
        <v>411</v>
      </c>
      <c r="C111" s="201" t="s">
        <v>412</v>
      </c>
      <c r="D111" s="201" t="s">
        <v>19</v>
      </c>
      <c r="E111" s="201"/>
      <c r="F111" s="201">
        <f>1+1</f>
        <v>2</v>
      </c>
      <c r="G111" s="204"/>
      <c r="H111" s="204">
        <f t="shared" si="39"/>
        <v>0</v>
      </c>
      <c r="I111" s="201"/>
      <c r="J111" s="201"/>
      <c r="K111" s="201"/>
      <c r="L111" s="201"/>
      <c r="M111" s="204">
        <f t="shared" si="37"/>
        <v>0</v>
      </c>
      <c r="N111" s="198"/>
      <c r="O111" s="198"/>
      <c r="P111" s="198"/>
      <c r="Q111" s="198"/>
      <c r="R111" s="198"/>
      <c r="S111" s="198"/>
    </row>
    <row r="112" spans="1:19" ht="15">
      <c r="A112" s="203"/>
      <c r="B112" s="202" t="s">
        <v>413</v>
      </c>
      <c r="C112" s="201" t="s">
        <v>414</v>
      </c>
      <c r="D112" s="201" t="s">
        <v>19</v>
      </c>
      <c r="E112" s="201"/>
      <c r="F112" s="201">
        <f>2+2</f>
        <v>4</v>
      </c>
      <c r="G112" s="204"/>
      <c r="H112" s="204">
        <f t="shared" si="39"/>
        <v>0</v>
      </c>
      <c r="I112" s="201"/>
      <c r="J112" s="201"/>
      <c r="K112" s="201"/>
      <c r="L112" s="201"/>
      <c r="M112" s="204">
        <f t="shared" si="37"/>
        <v>0</v>
      </c>
      <c r="N112" s="198"/>
      <c r="O112" s="198"/>
      <c r="P112" s="198"/>
      <c r="Q112" s="198"/>
      <c r="R112" s="198"/>
      <c r="S112" s="198"/>
    </row>
    <row r="113" spans="1:19" ht="15">
      <c r="A113" s="203"/>
      <c r="B113" s="202"/>
      <c r="C113" s="201" t="s">
        <v>415</v>
      </c>
      <c r="D113" s="201" t="s">
        <v>19</v>
      </c>
      <c r="E113" s="201"/>
      <c r="F113" s="201">
        <f>93+93</f>
        <v>186</v>
      </c>
      <c r="G113" s="204"/>
      <c r="H113" s="204">
        <f t="shared" si="39"/>
        <v>0</v>
      </c>
      <c r="I113" s="201"/>
      <c r="J113" s="201"/>
      <c r="K113" s="201"/>
      <c r="L113" s="201"/>
      <c r="M113" s="204">
        <f t="shared" si="37"/>
        <v>0</v>
      </c>
      <c r="N113" s="198"/>
      <c r="O113" s="198"/>
      <c r="P113" s="198"/>
      <c r="Q113" s="198"/>
      <c r="R113" s="198"/>
      <c r="S113" s="198"/>
    </row>
    <row r="114" spans="1:19" ht="15">
      <c r="A114" s="203"/>
      <c r="B114" s="202"/>
      <c r="C114" s="201" t="s">
        <v>416</v>
      </c>
      <c r="D114" s="201" t="s">
        <v>19</v>
      </c>
      <c r="E114" s="201"/>
      <c r="F114" s="201">
        <f>47+37</f>
        <v>84</v>
      </c>
      <c r="G114" s="204"/>
      <c r="H114" s="204">
        <f t="shared" si="39"/>
        <v>0</v>
      </c>
      <c r="I114" s="201"/>
      <c r="J114" s="201"/>
      <c r="K114" s="201"/>
      <c r="L114" s="201"/>
      <c r="M114" s="204">
        <f t="shared" si="37"/>
        <v>0</v>
      </c>
      <c r="N114" s="198"/>
      <c r="O114" s="198"/>
      <c r="P114" s="198"/>
      <c r="Q114" s="198"/>
      <c r="R114" s="198"/>
      <c r="S114" s="198"/>
    </row>
    <row r="115" spans="1:19" ht="15">
      <c r="A115" s="203"/>
      <c r="B115" s="202"/>
      <c r="C115" s="201" t="s">
        <v>417</v>
      </c>
      <c r="D115" s="201" t="s">
        <v>19</v>
      </c>
      <c r="E115" s="201"/>
      <c r="F115" s="201">
        <v>65</v>
      </c>
      <c r="G115" s="204"/>
      <c r="H115" s="204">
        <f t="shared" si="39"/>
        <v>0</v>
      </c>
      <c r="I115" s="201"/>
      <c r="J115" s="201"/>
      <c r="K115" s="201"/>
      <c r="L115" s="201"/>
      <c r="M115" s="204">
        <f t="shared" si="37"/>
        <v>0</v>
      </c>
      <c r="N115" s="198"/>
      <c r="O115" s="198"/>
      <c r="P115" s="198"/>
      <c r="Q115" s="198"/>
      <c r="R115" s="198"/>
      <c r="S115" s="198"/>
    </row>
    <row r="116" spans="1:19" ht="30">
      <c r="A116" s="203"/>
      <c r="B116" s="202"/>
      <c r="C116" s="201" t="s">
        <v>418</v>
      </c>
      <c r="D116" s="201" t="s">
        <v>19</v>
      </c>
      <c r="E116" s="201"/>
      <c r="F116" s="201">
        <f>137+137</f>
        <v>274</v>
      </c>
      <c r="G116" s="204"/>
      <c r="H116" s="204">
        <f t="shared" si="39"/>
        <v>0</v>
      </c>
      <c r="I116" s="201"/>
      <c r="J116" s="201"/>
      <c r="K116" s="201"/>
      <c r="L116" s="201"/>
      <c r="M116" s="204">
        <f t="shared" si="37"/>
        <v>0</v>
      </c>
      <c r="N116" s="198"/>
      <c r="O116" s="198"/>
      <c r="P116" s="198"/>
      <c r="Q116" s="198"/>
      <c r="R116" s="198"/>
      <c r="S116" s="198"/>
    </row>
    <row r="117" spans="1:19" ht="15">
      <c r="A117" s="203"/>
      <c r="B117" s="202" t="s">
        <v>419</v>
      </c>
      <c r="C117" s="201" t="s">
        <v>420</v>
      </c>
      <c r="D117" s="201" t="s">
        <v>19</v>
      </c>
      <c r="E117" s="201"/>
      <c r="F117" s="201">
        <f>8+4</f>
        <v>12</v>
      </c>
      <c r="G117" s="204"/>
      <c r="H117" s="204">
        <f t="shared" si="39"/>
        <v>0</v>
      </c>
      <c r="I117" s="201"/>
      <c r="J117" s="201"/>
      <c r="K117" s="201"/>
      <c r="L117" s="201"/>
      <c r="M117" s="204">
        <f t="shared" si="37"/>
        <v>0</v>
      </c>
      <c r="N117" s="198"/>
      <c r="O117" s="198"/>
      <c r="P117" s="198"/>
      <c r="Q117" s="198"/>
      <c r="R117" s="198"/>
      <c r="S117" s="198"/>
    </row>
    <row r="118" spans="1:19" ht="15">
      <c r="A118" s="203"/>
      <c r="B118" s="202" t="s">
        <v>421</v>
      </c>
      <c r="C118" s="201" t="s">
        <v>422</v>
      </c>
      <c r="D118" s="201" t="s">
        <v>19</v>
      </c>
      <c r="E118" s="201"/>
      <c r="F118" s="201">
        <f>15+14</f>
        <v>29</v>
      </c>
      <c r="G118" s="204"/>
      <c r="H118" s="204">
        <f t="shared" si="39"/>
        <v>0</v>
      </c>
      <c r="I118" s="201"/>
      <c r="J118" s="201"/>
      <c r="K118" s="201"/>
      <c r="L118" s="201"/>
      <c r="M118" s="204">
        <f t="shared" si="37"/>
        <v>0</v>
      </c>
      <c r="N118" s="198"/>
      <c r="O118" s="198"/>
      <c r="P118" s="198"/>
      <c r="Q118" s="198"/>
      <c r="R118" s="198"/>
      <c r="S118" s="198"/>
    </row>
    <row r="119" spans="1:19" ht="15">
      <c r="A119" s="203"/>
      <c r="B119" s="202" t="s">
        <v>423</v>
      </c>
      <c r="C119" s="201" t="s">
        <v>424</v>
      </c>
      <c r="D119" s="201" t="s">
        <v>19</v>
      </c>
      <c r="E119" s="201"/>
      <c r="F119" s="201">
        <f>15+22</f>
        <v>37</v>
      </c>
      <c r="G119" s="204"/>
      <c r="H119" s="204">
        <f t="shared" si="39"/>
        <v>0</v>
      </c>
      <c r="I119" s="201"/>
      <c r="J119" s="201"/>
      <c r="K119" s="201"/>
      <c r="L119" s="201"/>
      <c r="M119" s="204">
        <f t="shared" si="37"/>
        <v>0</v>
      </c>
      <c r="N119" s="198"/>
      <c r="O119" s="198"/>
      <c r="P119" s="198"/>
      <c r="Q119" s="198"/>
      <c r="R119" s="198"/>
      <c r="S119" s="198"/>
    </row>
    <row r="120" spans="1:19" ht="15">
      <c r="A120" s="203"/>
      <c r="B120" s="202" t="s">
        <v>425</v>
      </c>
      <c r="C120" s="201" t="s">
        <v>426</v>
      </c>
      <c r="D120" s="201" t="s">
        <v>19</v>
      </c>
      <c r="E120" s="201"/>
      <c r="F120" s="201">
        <f>110+132</f>
        <v>242</v>
      </c>
      <c r="G120" s="204"/>
      <c r="H120" s="204">
        <f t="shared" si="39"/>
        <v>0</v>
      </c>
      <c r="I120" s="201"/>
      <c r="J120" s="201"/>
      <c r="K120" s="201"/>
      <c r="L120" s="201"/>
      <c r="M120" s="204">
        <f t="shared" si="37"/>
        <v>0</v>
      </c>
      <c r="N120" s="198"/>
      <c r="O120" s="198"/>
      <c r="P120" s="198"/>
      <c r="Q120" s="198"/>
      <c r="R120" s="198"/>
      <c r="S120" s="198"/>
    </row>
    <row r="121" spans="1:19" ht="15">
      <c r="A121" s="203"/>
      <c r="B121" s="202" t="s">
        <v>427</v>
      </c>
      <c r="C121" s="201" t="s">
        <v>428</v>
      </c>
      <c r="D121" s="201" t="s">
        <v>19</v>
      </c>
      <c r="E121" s="201"/>
      <c r="F121" s="201">
        <f>176+253</f>
        <v>429</v>
      </c>
      <c r="G121" s="204"/>
      <c r="H121" s="204">
        <f t="shared" si="39"/>
        <v>0</v>
      </c>
      <c r="I121" s="201"/>
      <c r="J121" s="201"/>
      <c r="K121" s="201"/>
      <c r="L121" s="201"/>
      <c r="M121" s="204">
        <f t="shared" si="37"/>
        <v>0</v>
      </c>
      <c r="N121" s="198"/>
      <c r="O121" s="198"/>
      <c r="P121" s="198"/>
      <c r="Q121" s="198"/>
      <c r="R121" s="198"/>
      <c r="S121" s="198"/>
    </row>
    <row r="122" spans="1:19" ht="15">
      <c r="A122" s="203"/>
      <c r="B122" s="202" t="s">
        <v>429</v>
      </c>
      <c r="C122" s="201" t="s">
        <v>430</v>
      </c>
      <c r="D122" s="201" t="s">
        <v>19</v>
      </c>
      <c r="E122" s="201"/>
      <c r="F122" s="201">
        <f>195+137</f>
        <v>332</v>
      </c>
      <c r="G122" s="204"/>
      <c r="H122" s="204">
        <f t="shared" si="39"/>
        <v>0</v>
      </c>
      <c r="I122" s="201"/>
      <c r="J122" s="201"/>
      <c r="K122" s="201"/>
      <c r="L122" s="201"/>
      <c r="M122" s="204">
        <f t="shared" si="37"/>
        <v>0</v>
      </c>
      <c r="N122" s="198"/>
      <c r="O122" s="198"/>
      <c r="P122" s="198"/>
      <c r="Q122" s="198"/>
      <c r="R122" s="198"/>
      <c r="S122" s="198"/>
    </row>
    <row r="123" spans="1:19" ht="15">
      <c r="A123" s="203"/>
      <c r="B123" s="202"/>
      <c r="C123" s="201" t="s">
        <v>21</v>
      </c>
      <c r="D123" s="201" t="s">
        <v>25</v>
      </c>
      <c r="E123" s="201">
        <v>7.0000000000000007E-2</v>
      </c>
      <c r="F123" s="201">
        <f>E123*F101</f>
        <v>3.08</v>
      </c>
      <c r="G123" s="201"/>
      <c r="H123" s="204">
        <f t="shared" si="39"/>
        <v>0</v>
      </c>
      <c r="I123" s="201"/>
      <c r="J123" s="201"/>
      <c r="K123" s="201"/>
      <c r="L123" s="201"/>
      <c r="M123" s="204">
        <f t="shared" si="37"/>
        <v>0</v>
      </c>
      <c r="N123" s="198"/>
      <c r="O123" s="198"/>
      <c r="P123" s="198"/>
      <c r="Q123" s="198"/>
      <c r="R123" s="198"/>
      <c r="S123" s="198"/>
    </row>
    <row r="124" spans="1:19" ht="15">
      <c r="A124" s="203">
        <v>11</v>
      </c>
      <c r="B124" s="202" t="s">
        <v>431</v>
      </c>
      <c r="C124" s="203" t="s">
        <v>432</v>
      </c>
      <c r="D124" s="203" t="s">
        <v>19</v>
      </c>
      <c r="E124" s="201"/>
      <c r="F124" s="201">
        <v>1</v>
      </c>
      <c r="G124" s="201"/>
      <c r="H124" s="201"/>
      <c r="I124" s="201"/>
      <c r="J124" s="201"/>
      <c r="K124" s="201"/>
      <c r="L124" s="201"/>
      <c r="M124" s="201"/>
      <c r="N124" s="198"/>
      <c r="O124" s="198"/>
      <c r="P124" s="198"/>
      <c r="Q124" s="198"/>
      <c r="R124" s="198"/>
      <c r="S124" s="198"/>
    </row>
    <row r="125" spans="1:19" ht="15">
      <c r="A125" s="203"/>
      <c r="B125" s="202"/>
      <c r="C125" s="201" t="s">
        <v>180</v>
      </c>
      <c r="D125" s="201" t="s">
        <v>18</v>
      </c>
      <c r="E125" s="201">
        <v>1</v>
      </c>
      <c r="F125" s="201">
        <f>E125*F124</f>
        <v>1</v>
      </c>
      <c r="G125" s="201"/>
      <c r="H125" s="201"/>
      <c r="I125" s="201"/>
      <c r="J125" s="201">
        <f t="shared" ref="J125" si="40">I125*F125</f>
        <v>0</v>
      </c>
      <c r="K125" s="201"/>
      <c r="L125" s="201"/>
      <c r="M125" s="201">
        <f t="shared" ref="M125:M128" si="41">L125+J125+H125</f>
        <v>0</v>
      </c>
      <c r="N125" s="198"/>
      <c r="O125" s="198"/>
      <c r="P125" s="198"/>
      <c r="Q125" s="198"/>
      <c r="R125" s="198"/>
      <c r="S125" s="198"/>
    </row>
    <row r="126" spans="1:19" ht="15">
      <c r="A126" s="203"/>
      <c r="B126" s="202"/>
      <c r="C126" s="201" t="s">
        <v>36</v>
      </c>
      <c r="D126" s="201" t="s">
        <v>25</v>
      </c>
      <c r="E126" s="201">
        <v>0.16</v>
      </c>
      <c r="F126" s="201">
        <f>E126*F124</f>
        <v>0.16</v>
      </c>
      <c r="G126" s="201"/>
      <c r="H126" s="201"/>
      <c r="I126" s="201"/>
      <c r="J126" s="201"/>
      <c r="K126" s="201"/>
      <c r="L126" s="204">
        <f t="shared" ref="L126" si="42">K126*F126</f>
        <v>0</v>
      </c>
      <c r="M126" s="204">
        <f t="shared" si="41"/>
        <v>0</v>
      </c>
      <c r="N126" s="198"/>
      <c r="O126" s="198"/>
      <c r="P126" s="198"/>
      <c r="Q126" s="198"/>
      <c r="R126" s="198"/>
      <c r="S126" s="198"/>
    </row>
    <row r="127" spans="1:19" ht="15">
      <c r="A127" s="203"/>
      <c r="B127" s="202"/>
      <c r="C127" s="201" t="s">
        <v>433</v>
      </c>
      <c r="D127" s="201" t="s">
        <v>19</v>
      </c>
      <c r="E127" s="201">
        <v>1</v>
      </c>
      <c r="F127" s="201">
        <f>E127*F124</f>
        <v>1</v>
      </c>
      <c r="G127" s="204"/>
      <c r="H127" s="204">
        <f t="shared" ref="H127:H128" si="43">G127*F127</f>
        <v>0</v>
      </c>
      <c r="I127" s="201"/>
      <c r="J127" s="201"/>
      <c r="K127" s="201"/>
      <c r="L127" s="201"/>
      <c r="M127" s="204">
        <f t="shared" si="41"/>
        <v>0</v>
      </c>
      <c r="N127" s="198"/>
      <c r="O127" s="198"/>
      <c r="P127" s="198"/>
      <c r="Q127" s="198"/>
      <c r="R127" s="198"/>
      <c r="S127" s="198"/>
    </row>
    <row r="128" spans="1:19" ht="15">
      <c r="A128" s="203"/>
      <c r="B128" s="202"/>
      <c r="C128" s="201" t="s">
        <v>21</v>
      </c>
      <c r="D128" s="201" t="s">
        <v>25</v>
      </c>
      <c r="E128" s="201">
        <v>0.02</v>
      </c>
      <c r="F128" s="201">
        <f>E128*F124</f>
        <v>0.02</v>
      </c>
      <c r="G128" s="201"/>
      <c r="H128" s="204">
        <f t="shared" si="43"/>
        <v>0</v>
      </c>
      <c r="I128" s="201"/>
      <c r="J128" s="201"/>
      <c r="K128" s="201"/>
      <c r="L128" s="201"/>
      <c r="M128" s="204">
        <f t="shared" si="41"/>
        <v>0</v>
      </c>
      <c r="N128" s="198"/>
      <c r="O128" s="198"/>
      <c r="P128" s="198"/>
      <c r="Q128" s="198"/>
      <c r="R128" s="198"/>
      <c r="S128" s="198"/>
    </row>
    <row r="129" spans="1:19" ht="15">
      <c r="A129" s="203">
        <v>12</v>
      </c>
      <c r="B129" s="202" t="s">
        <v>262</v>
      </c>
      <c r="C129" s="203" t="s">
        <v>263</v>
      </c>
      <c r="D129" s="203" t="s">
        <v>99</v>
      </c>
      <c r="E129" s="201"/>
      <c r="F129" s="201">
        <f>SUM(F131:F138)</f>
        <v>2994</v>
      </c>
      <c r="G129" s="201"/>
      <c r="H129" s="201"/>
      <c r="I129" s="201"/>
      <c r="J129" s="201"/>
      <c r="K129" s="201"/>
      <c r="L129" s="201"/>
      <c r="M129" s="201"/>
      <c r="N129" s="198"/>
      <c r="O129" s="198"/>
      <c r="P129" s="198"/>
      <c r="Q129" s="198"/>
      <c r="R129" s="198"/>
      <c r="S129" s="198"/>
    </row>
    <row r="130" spans="1:19" ht="15">
      <c r="A130" s="203"/>
      <c r="B130" s="202"/>
      <c r="C130" s="201" t="s">
        <v>180</v>
      </c>
      <c r="D130" s="201" t="s">
        <v>99</v>
      </c>
      <c r="E130" s="201">
        <v>1</v>
      </c>
      <c r="F130" s="201">
        <f>E130*F129</f>
        <v>2994</v>
      </c>
      <c r="G130" s="201"/>
      <c r="H130" s="201"/>
      <c r="I130" s="201"/>
      <c r="J130" s="201">
        <f t="shared" ref="J130" si="44">I130*F130</f>
        <v>0</v>
      </c>
      <c r="K130" s="201"/>
      <c r="L130" s="201"/>
      <c r="M130" s="201">
        <f t="shared" ref="M130:M138" si="45">L130+J130+H130</f>
        <v>0</v>
      </c>
      <c r="N130" s="198"/>
      <c r="O130" s="198"/>
      <c r="P130" s="198"/>
      <c r="Q130" s="198"/>
      <c r="R130" s="198"/>
      <c r="S130" s="198"/>
    </row>
    <row r="131" spans="1:19" ht="15">
      <c r="A131" s="203"/>
      <c r="B131" s="202"/>
      <c r="C131" s="201" t="s">
        <v>434</v>
      </c>
      <c r="D131" s="201" t="s">
        <v>99</v>
      </c>
      <c r="E131" s="201"/>
      <c r="F131" s="201">
        <v>60</v>
      </c>
      <c r="G131" s="204"/>
      <c r="H131" s="204">
        <f t="shared" ref="H131:H138" si="46">G131*F131</f>
        <v>0</v>
      </c>
      <c r="I131" s="201"/>
      <c r="J131" s="201"/>
      <c r="K131" s="201"/>
      <c r="L131" s="204"/>
      <c r="M131" s="204">
        <f t="shared" si="45"/>
        <v>0</v>
      </c>
      <c r="N131" s="198"/>
      <c r="O131" s="198"/>
      <c r="P131" s="198"/>
      <c r="Q131" s="198"/>
      <c r="R131" s="198"/>
      <c r="S131" s="198"/>
    </row>
    <row r="132" spans="1:19" ht="15">
      <c r="A132" s="203"/>
      <c r="B132" s="202"/>
      <c r="C132" s="201" t="s">
        <v>435</v>
      </c>
      <c r="D132" s="201" t="s">
        <v>99</v>
      </c>
      <c r="E132" s="201"/>
      <c r="F132" s="201">
        <f>24+24</f>
        <v>48</v>
      </c>
      <c r="G132" s="204"/>
      <c r="H132" s="204">
        <f t="shared" si="46"/>
        <v>0</v>
      </c>
      <c r="I132" s="201"/>
      <c r="J132" s="201"/>
      <c r="K132" s="201"/>
      <c r="L132" s="201"/>
      <c r="M132" s="204">
        <f t="shared" si="45"/>
        <v>0</v>
      </c>
      <c r="N132" s="198"/>
      <c r="O132" s="198"/>
      <c r="P132" s="198"/>
      <c r="Q132" s="198"/>
      <c r="R132" s="198"/>
      <c r="S132" s="198"/>
    </row>
    <row r="133" spans="1:19" ht="15">
      <c r="A133" s="203"/>
      <c r="B133" s="202"/>
      <c r="C133" s="201" t="s">
        <v>436</v>
      </c>
      <c r="D133" s="201" t="s">
        <v>99</v>
      </c>
      <c r="E133" s="201"/>
      <c r="F133" s="201">
        <f>36+60</f>
        <v>96</v>
      </c>
      <c r="G133" s="204"/>
      <c r="H133" s="204">
        <f t="shared" si="46"/>
        <v>0</v>
      </c>
      <c r="I133" s="201"/>
      <c r="J133" s="201"/>
      <c r="K133" s="201"/>
      <c r="L133" s="204"/>
      <c r="M133" s="204">
        <f t="shared" si="45"/>
        <v>0</v>
      </c>
      <c r="N133" s="198"/>
      <c r="O133" s="198"/>
      <c r="P133" s="198"/>
      <c r="Q133" s="198"/>
      <c r="R133" s="198"/>
      <c r="S133" s="198"/>
    </row>
    <row r="134" spans="1:19" ht="15">
      <c r="A134" s="203"/>
      <c r="B134" s="202"/>
      <c r="C134" s="201" t="s">
        <v>437</v>
      </c>
      <c r="D134" s="201" t="s">
        <v>99</v>
      </c>
      <c r="E134" s="201"/>
      <c r="F134" s="201">
        <f>32+24</f>
        <v>56</v>
      </c>
      <c r="G134" s="204"/>
      <c r="H134" s="204">
        <f t="shared" si="46"/>
        <v>0</v>
      </c>
      <c r="I134" s="201"/>
      <c r="J134" s="201"/>
      <c r="K134" s="201"/>
      <c r="L134" s="201"/>
      <c r="M134" s="204">
        <f t="shared" si="45"/>
        <v>0</v>
      </c>
      <c r="N134" s="198"/>
      <c r="O134" s="198"/>
      <c r="P134" s="198"/>
      <c r="Q134" s="198"/>
      <c r="R134" s="198"/>
      <c r="S134" s="198"/>
    </row>
    <row r="135" spans="1:19" ht="15">
      <c r="A135" s="203"/>
      <c r="B135" s="202"/>
      <c r="C135" s="201" t="s">
        <v>438</v>
      </c>
      <c r="D135" s="201" t="s">
        <v>99</v>
      </c>
      <c r="E135" s="201"/>
      <c r="F135" s="201">
        <f>60+56</f>
        <v>116</v>
      </c>
      <c r="G135" s="201"/>
      <c r="H135" s="204">
        <f t="shared" si="46"/>
        <v>0</v>
      </c>
      <c r="I135" s="201"/>
      <c r="J135" s="201"/>
      <c r="K135" s="201"/>
      <c r="L135" s="201"/>
      <c r="M135" s="204">
        <f t="shared" si="45"/>
        <v>0</v>
      </c>
      <c r="N135" s="198"/>
      <c r="O135" s="198"/>
      <c r="P135" s="198"/>
      <c r="Q135" s="198"/>
      <c r="R135" s="198"/>
      <c r="S135" s="198"/>
    </row>
    <row r="136" spans="1:19" ht="15">
      <c r="A136" s="203"/>
      <c r="B136" s="202"/>
      <c r="C136" s="201" t="s">
        <v>439</v>
      </c>
      <c r="D136" s="201" t="s">
        <v>99</v>
      </c>
      <c r="E136" s="201"/>
      <c r="F136" s="201">
        <f>56+84</f>
        <v>140</v>
      </c>
      <c r="G136" s="204"/>
      <c r="H136" s="204">
        <f t="shared" si="46"/>
        <v>0</v>
      </c>
      <c r="I136" s="201"/>
      <c r="J136" s="201"/>
      <c r="K136" s="201"/>
      <c r="L136" s="204"/>
      <c r="M136" s="204">
        <f t="shared" si="45"/>
        <v>0</v>
      </c>
      <c r="N136" s="198"/>
      <c r="O136" s="198"/>
      <c r="P136" s="198"/>
      <c r="Q136" s="198"/>
      <c r="R136" s="198"/>
      <c r="S136" s="198"/>
    </row>
    <row r="137" spans="1:19" ht="15">
      <c r="A137" s="203"/>
      <c r="B137" s="202"/>
      <c r="C137" s="201" t="s">
        <v>440</v>
      </c>
      <c r="D137" s="201" t="s">
        <v>99</v>
      </c>
      <c r="E137" s="201"/>
      <c r="F137" s="201">
        <f>648+504</f>
        <v>1152</v>
      </c>
      <c r="G137" s="204"/>
      <c r="H137" s="204">
        <f t="shared" si="46"/>
        <v>0</v>
      </c>
      <c r="I137" s="201"/>
      <c r="J137" s="201"/>
      <c r="K137" s="201"/>
      <c r="L137" s="201"/>
      <c r="M137" s="204">
        <f t="shared" si="45"/>
        <v>0</v>
      </c>
      <c r="N137" s="198"/>
      <c r="O137" s="198"/>
      <c r="P137" s="198"/>
      <c r="Q137" s="198"/>
      <c r="R137" s="198"/>
      <c r="S137" s="198"/>
    </row>
    <row r="138" spans="1:19" ht="15">
      <c r="A138" s="203"/>
      <c r="B138" s="202"/>
      <c r="C138" s="201" t="s">
        <v>441</v>
      </c>
      <c r="D138" s="201" t="s">
        <v>99</v>
      </c>
      <c r="E138" s="201"/>
      <c r="F138" s="201">
        <f>636+690</f>
        <v>1326</v>
      </c>
      <c r="G138" s="201"/>
      <c r="H138" s="204">
        <f t="shared" si="46"/>
        <v>0</v>
      </c>
      <c r="I138" s="201"/>
      <c r="J138" s="201"/>
      <c r="K138" s="201"/>
      <c r="L138" s="201"/>
      <c r="M138" s="204">
        <f t="shared" si="45"/>
        <v>0</v>
      </c>
      <c r="N138" s="198"/>
      <c r="O138" s="198"/>
      <c r="P138" s="198"/>
      <c r="Q138" s="198"/>
      <c r="R138" s="198"/>
      <c r="S138" s="198"/>
    </row>
    <row r="139" spans="1:19" ht="30">
      <c r="A139" s="237">
        <v>12</v>
      </c>
      <c r="B139" s="238" t="s">
        <v>442</v>
      </c>
      <c r="C139" s="237" t="s">
        <v>443</v>
      </c>
      <c r="D139" s="237" t="s">
        <v>19</v>
      </c>
      <c r="E139" s="239"/>
      <c r="F139" s="239">
        <f>66+4+65</f>
        <v>135</v>
      </c>
      <c r="G139" s="239"/>
      <c r="H139" s="239"/>
      <c r="I139" s="239"/>
      <c r="J139" s="239"/>
      <c r="K139" s="239"/>
      <c r="L139" s="239"/>
      <c r="M139" s="239"/>
      <c r="N139" s="198"/>
      <c r="O139" s="198"/>
      <c r="P139" s="198"/>
      <c r="Q139" s="198"/>
      <c r="R139" s="198"/>
      <c r="S139" s="198"/>
    </row>
    <row r="140" spans="1:19" ht="15">
      <c r="A140" s="237"/>
      <c r="B140" s="238"/>
      <c r="C140" s="239" t="s">
        <v>180</v>
      </c>
      <c r="D140" s="239" t="s">
        <v>19</v>
      </c>
      <c r="E140" s="239">
        <v>1</v>
      </c>
      <c r="F140" s="239">
        <f>E140*F139</f>
        <v>135</v>
      </c>
      <c r="G140" s="239"/>
      <c r="H140" s="239"/>
      <c r="I140" s="239"/>
      <c r="J140" s="239">
        <f t="shared" ref="J140" si="47">I140*F140</f>
        <v>0</v>
      </c>
      <c r="K140" s="239"/>
      <c r="L140" s="239"/>
      <c r="M140" s="239">
        <f t="shared" ref="M140:M145" si="48">L140+J140+H140</f>
        <v>0</v>
      </c>
      <c r="N140" s="198"/>
      <c r="O140" s="198"/>
      <c r="P140" s="198"/>
      <c r="Q140" s="198"/>
      <c r="R140" s="198"/>
      <c r="S140" s="198"/>
    </row>
    <row r="141" spans="1:19" ht="15">
      <c r="A141" s="237"/>
      <c r="B141" s="238"/>
      <c r="C141" s="239" t="s">
        <v>36</v>
      </c>
      <c r="D141" s="239" t="s">
        <v>25</v>
      </c>
      <c r="E141" s="239">
        <v>0.01</v>
      </c>
      <c r="F141" s="239">
        <f>E141*F139</f>
        <v>1.35</v>
      </c>
      <c r="G141" s="240"/>
      <c r="H141" s="240"/>
      <c r="I141" s="239"/>
      <c r="J141" s="239"/>
      <c r="K141" s="239"/>
      <c r="L141" s="240">
        <f>K141*F141</f>
        <v>0</v>
      </c>
      <c r="M141" s="240">
        <f t="shared" si="48"/>
        <v>0</v>
      </c>
      <c r="N141" s="198"/>
      <c r="O141" s="198"/>
      <c r="P141" s="198"/>
      <c r="Q141" s="198"/>
      <c r="R141" s="198"/>
      <c r="S141" s="198"/>
    </row>
    <row r="142" spans="1:19" ht="30">
      <c r="A142" s="237"/>
      <c r="B142" s="238"/>
      <c r="C142" s="239" t="s">
        <v>444</v>
      </c>
      <c r="D142" s="239" t="s">
        <v>99</v>
      </c>
      <c r="E142" s="239"/>
      <c r="F142" s="239">
        <v>66</v>
      </c>
      <c r="G142" s="240"/>
      <c r="H142" s="240">
        <f t="shared" ref="H142:H145" si="49">G142*F142</f>
        <v>0</v>
      </c>
      <c r="I142" s="239"/>
      <c r="J142" s="239"/>
      <c r="K142" s="239"/>
      <c r="L142" s="239"/>
      <c r="M142" s="240">
        <f t="shared" si="48"/>
        <v>0</v>
      </c>
      <c r="N142" s="241"/>
      <c r="O142" s="198"/>
      <c r="P142" s="198"/>
      <c r="Q142" s="198"/>
      <c r="R142" s="198"/>
      <c r="S142" s="198"/>
    </row>
    <row r="143" spans="1:19" ht="30">
      <c r="A143" s="237"/>
      <c r="B143" s="238"/>
      <c r="C143" s="239" t="s">
        <v>445</v>
      </c>
      <c r="D143" s="239" t="s">
        <v>99</v>
      </c>
      <c r="E143" s="239"/>
      <c r="F143" s="239">
        <v>4</v>
      </c>
      <c r="G143" s="240"/>
      <c r="H143" s="240">
        <f t="shared" si="49"/>
        <v>0</v>
      </c>
      <c r="I143" s="239"/>
      <c r="J143" s="239"/>
      <c r="K143" s="239"/>
      <c r="L143" s="240"/>
      <c r="M143" s="240">
        <f t="shared" si="48"/>
        <v>0</v>
      </c>
      <c r="N143" s="198"/>
      <c r="O143" s="198"/>
      <c r="P143" s="198"/>
      <c r="Q143" s="198"/>
      <c r="R143" s="198"/>
      <c r="S143" s="198"/>
    </row>
    <row r="144" spans="1:19" ht="30">
      <c r="A144" s="237"/>
      <c r="B144" s="238"/>
      <c r="C144" s="239" t="s">
        <v>446</v>
      </c>
      <c r="D144" s="239" t="s">
        <v>99</v>
      </c>
      <c r="E144" s="239"/>
      <c r="F144" s="239">
        <v>65</v>
      </c>
      <c r="G144" s="240"/>
      <c r="H144" s="240">
        <f t="shared" si="49"/>
        <v>0</v>
      </c>
      <c r="I144" s="239"/>
      <c r="J144" s="239"/>
      <c r="K144" s="239"/>
      <c r="L144" s="239"/>
      <c r="M144" s="240">
        <f t="shared" si="48"/>
        <v>0</v>
      </c>
      <c r="N144" s="198"/>
      <c r="O144" s="198"/>
      <c r="P144" s="198"/>
      <c r="Q144" s="198"/>
      <c r="R144" s="198"/>
      <c r="S144" s="198"/>
    </row>
    <row r="145" spans="1:19" ht="15">
      <c r="A145" s="237"/>
      <c r="B145" s="238"/>
      <c r="C145" s="239" t="s">
        <v>21</v>
      </c>
      <c r="D145" s="239" t="s">
        <v>25</v>
      </c>
      <c r="E145" s="239">
        <v>7.0000000000000007E-2</v>
      </c>
      <c r="F145" s="239">
        <f>E145*F139</f>
        <v>9.4500000000000011</v>
      </c>
      <c r="G145" s="239"/>
      <c r="H145" s="240">
        <f t="shared" si="49"/>
        <v>0</v>
      </c>
      <c r="I145" s="239"/>
      <c r="J145" s="239"/>
      <c r="K145" s="239"/>
      <c r="L145" s="239"/>
      <c r="M145" s="240">
        <f t="shared" si="48"/>
        <v>0</v>
      </c>
      <c r="N145" s="198"/>
      <c r="O145" s="198"/>
      <c r="P145" s="198"/>
      <c r="Q145" s="198"/>
      <c r="R145" s="198"/>
      <c r="S145" s="198"/>
    </row>
    <row r="146" spans="1:19" ht="18">
      <c r="A146" s="203"/>
      <c r="B146" s="202"/>
      <c r="C146" s="206" t="s">
        <v>288</v>
      </c>
      <c r="D146" s="201"/>
      <c r="E146" s="201"/>
      <c r="F146" s="201"/>
      <c r="G146" s="201"/>
      <c r="H146" s="204"/>
      <c r="I146" s="201"/>
      <c r="J146" s="201"/>
      <c r="K146" s="201"/>
      <c r="L146" s="201"/>
      <c r="M146" s="204"/>
      <c r="N146" s="198"/>
      <c r="O146" s="198"/>
      <c r="P146" s="198"/>
      <c r="Q146" s="198"/>
      <c r="R146" s="198"/>
      <c r="S146" s="198"/>
    </row>
    <row r="147" spans="1:19" ht="45">
      <c r="A147" s="203">
        <v>13</v>
      </c>
      <c r="B147" s="202" t="s">
        <v>289</v>
      </c>
      <c r="C147" s="203" t="s">
        <v>447</v>
      </c>
      <c r="D147" s="203" t="s">
        <v>19</v>
      </c>
      <c r="E147" s="201"/>
      <c r="F147" s="201">
        <v>1</v>
      </c>
      <c r="G147" s="201"/>
      <c r="H147" s="201"/>
      <c r="I147" s="201"/>
      <c r="J147" s="201"/>
      <c r="K147" s="201"/>
      <c r="L147" s="201"/>
      <c r="M147" s="201"/>
      <c r="N147" s="198"/>
      <c r="O147" s="198"/>
      <c r="P147" s="198"/>
      <c r="Q147" s="198"/>
      <c r="R147" s="198"/>
      <c r="S147" s="198"/>
    </row>
    <row r="148" spans="1:19" ht="15">
      <c r="A148" s="203"/>
      <c r="B148" s="202"/>
      <c r="C148" s="201" t="s">
        <v>180</v>
      </c>
      <c r="D148" s="201" t="s">
        <v>19</v>
      </c>
      <c r="E148" s="201">
        <v>1</v>
      </c>
      <c r="F148" s="201">
        <f>E148*F147</f>
        <v>1</v>
      </c>
      <c r="G148" s="201"/>
      <c r="H148" s="201"/>
      <c r="I148" s="201"/>
      <c r="J148" s="201">
        <f t="shared" ref="J148" si="50">I148*F148</f>
        <v>0</v>
      </c>
      <c r="K148" s="201"/>
      <c r="L148" s="201"/>
      <c r="M148" s="201">
        <f t="shared" ref="M148:M151" si="51">L148+J148+H148</f>
        <v>0</v>
      </c>
      <c r="N148" s="198"/>
      <c r="O148" s="198"/>
      <c r="P148" s="198"/>
      <c r="Q148" s="198"/>
      <c r="R148" s="198"/>
      <c r="S148" s="198"/>
    </row>
    <row r="149" spans="1:19" ht="15">
      <c r="A149" s="203"/>
      <c r="B149" s="202"/>
      <c r="C149" s="201" t="s">
        <v>36</v>
      </c>
      <c r="D149" s="201" t="s">
        <v>25</v>
      </c>
      <c r="E149" s="201">
        <v>0.78</v>
      </c>
      <c r="F149" s="201">
        <f>E149*F147</f>
        <v>0.78</v>
      </c>
      <c r="G149" s="201"/>
      <c r="H149" s="201"/>
      <c r="I149" s="201"/>
      <c r="J149" s="201"/>
      <c r="K149" s="201"/>
      <c r="L149" s="204">
        <f t="shared" ref="L149" si="52">K149*F149</f>
        <v>0</v>
      </c>
      <c r="M149" s="204">
        <f t="shared" si="51"/>
        <v>0</v>
      </c>
      <c r="N149" s="198"/>
      <c r="O149" s="198"/>
      <c r="P149" s="198"/>
      <c r="Q149" s="198"/>
      <c r="R149" s="198"/>
      <c r="S149" s="198"/>
    </row>
    <row r="150" spans="1:19" ht="30">
      <c r="A150" s="203"/>
      <c r="B150" s="202"/>
      <c r="C150" s="201" t="s">
        <v>290</v>
      </c>
      <c r="D150" s="201" t="s">
        <v>268</v>
      </c>
      <c r="E150" s="201"/>
      <c r="F150" s="201">
        <f>F147</f>
        <v>1</v>
      </c>
      <c r="G150" s="204"/>
      <c r="H150" s="204">
        <f t="shared" ref="H150:H151" si="53">G150*F150</f>
        <v>0</v>
      </c>
      <c r="I150" s="201"/>
      <c r="J150" s="201"/>
      <c r="K150" s="201"/>
      <c r="L150" s="201"/>
      <c r="M150" s="204">
        <f t="shared" si="51"/>
        <v>0</v>
      </c>
      <c r="N150" s="198"/>
      <c r="O150" s="198"/>
      <c r="P150" s="198"/>
      <c r="Q150" s="198"/>
      <c r="R150" s="198"/>
      <c r="S150" s="198"/>
    </row>
    <row r="151" spans="1:19" ht="15">
      <c r="A151" s="203"/>
      <c r="B151" s="202"/>
      <c r="C151" s="201" t="s">
        <v>21</v>
      </c>
      <c r="D151" s="201" t="s">
        <v>25</v>
      </c>
      <c r="E151" s="201">
        <f>1.58*2</f>
        <v>3.16</v>
      </c>
      <c r="F151" s="201">
        <f>E151*F147</f>
        <v>3.16</v>
      </c>
      <c r="G151" s="201"/>
      <c r="H151" s="204">
        <f t="shared" si="53"/>
        <v>0</v>
      </c>
      <c r="I151" s="201"/>
      <c r="J151" s="201"/>
      <c r="K151" s="201"/>
      <c r="L151" s="201"/>
      <c r="M151" s="204">
        <f t="shared" si="51"/>
        <v>0</v>
      </c>
      <c r="N151" s="198"/>
      <c r="O151" s="198"/>
      <c r="P151" s="198"/>
      <c r="Q151" s="198"/>
      <c r="R151" s="198"/>
      <c r="S151" s="198"/>
    </row>
    <row r="152" spans="1:19" ht="15">
      <c r="A152" s="203">
        <v>14</v>
      </c>
      <c r="B152" s="202" t="s">
        <v>292</v>
      </c>
      <c r="C152" s="207" t="s">
        <v>448</v>
      </c>
      <c r="D152" s="203" t="s">
        <v>19</v>
      </c>
      <c r="E152" s="201"/>
      <c r="F152" s="201">
        <v>1</v>
      </c>
      <c r="G152" s="201"/>
      <c r="H152" s="201"/>
      <c r="I152" s="201"/>
      <c r="J152" s="201"/>
      <c r="K152" s="201"/>
      <c r="L152" s="201"/>
      <c r="M152" s="201"/>
      <c r="N152" s="198"/>
      <c r="O152" s="198"/>
      <c r="P152" s="198"/>
      <c r="Q152" s="198"/>
      <c r="R152" s="198"/>
      <c r="S152" s="198"/>
    </row>
    <row r="153" spans="1:19" ht="15">
      <c r="A153" s="203"/>
      <c r="B153" s="202"/>
      <c r="C153" s="201" t="s">
        <v>180</v>
      </c>
      <c r="D153" s="201" t="s">
        <v>19</v>
      </c>
      <c r="E153" s="201">
        <v>1</v>
      </c>
      <c r="F153" s="201">
        <f>E153*F152</f>
        <v>1</v>
      </c>
      <c r="G153" s="201"/>
      <c r="H153" s="201"/>
      <c r="I153" s="201"/>
      <c r="J153" s="201">
        <f t="shared" ref="J153" si="54">I153*F153</f>
        <v>0</v>
      </c>
      <c r="K153" s="201"/>
      <c r="L153" s="201"/>
      <c r="M153" s="201">
        <f t="shared" ref="M153:M157" si="55">L153+J153+H153</f>
        <v>0</v>
      </c>
      <c r="N153" s="198"/>
      <c r="O153" s="198"/>
      <c r="P153" s="198"/>
      <c r="Q153" s="198"/>
      <c r="R153" s="198"/>
      <c r="S153" s="198"/>
    </row>
    <row r="154" spans="1:19" ht="15">
      <c r="A154" s="203"/>
      <c r="B154" s="202"/>
      <c r="C154" s="201" t="s">
        <v>36</v>
      </c>
      <c r="D154" s="201" t="s">
        <v>25</v>
      </c>
      <c r="E154" s="201">
        <v>9.8000000000000007</v>
      </c>
      <c r="F154" s="201">
        <f>E154*F152</f>
        <v>9.8000000000000007</v>
      </c>
      <c r="G154" s="201"/>
      <c r="H154" s="201"/>
      <c r="I154" s="201"/>
      <c r="J154" s="201"/>
      <c r="K154" s="201"/>
      <c r="L154" s="204">
        <f t="shared" ref="L154" si="56">K154*F154</f>
        <v>0</v>
      </c>
      <c r="M154" s="204">
        <f t="shared" si="55"/>
        <v>0</v>
      </c>
      <c r="N154" s="198"/>
      <c r="O154" s="198"/>
      <c r="P154" s="198"/>
      <c r="Q154" s="198"/>
      <c r="R154" s="198"/>
      <c r="S154" s="198"/>
    </row>
    <row r="155" spans="1:19" ht="15">
      <c r="A155" s="203"/>
      <c r="B155" s="202"/>
      <c r="C155" s="201" t="s">
        <v>448</v>
      </c>
      <c r="D155" s="201" t="s">
        <v>268</v>
      </c>
      <c r="E155" s="201"/>
      <c r="F155" s="201">
        <f>F152</f>
        <v>1</v>
      </c>
      <c r="G155" s="204"/>
      <c r="H155" s="204">
        <f t="shared" ref="H155:H156" si="57">G155*F155</f>
        <v>0</v>
      </c>
      <c r="I155" s="201"/>
      <c r="J155" s="201"/>
      <c r="K155" s="201"/>
      <c r="L155" s="201"/>
      <c r="M155" s="204">
        <f t="shared" si="55"/>
        <v>0</v>
      </c>
      <c r="N155" s="198"/>
      <c r="O155" s="198"/>
      <c r="P155" s="198"/>
      <c r="Q155" s="198"/>
      <c r="R155" s="198"/>
      <c r="S155" s="198"/>
    </row>
    <row r="156" spans="1:19" ht="15">
      <c r="A156" s="203"/>
      <c r="B156" s="202"/>
      <c r="C156" s="201" t="s">
        <v>21</v>
      </c>
      <c r="D156" s="201" t="s">
        <v>25</v>
      </c>
      <c r="E156" s="201">
        <v>6.5</v>
      </c>
      <c r="F156" s="201">
        <f>E156*F152</f>
        <v>6.5</v>
      </c>
      <c r="G156" s="201"/>
      <c r="H156" s="204">
        <f t="shared" si="57"/>
        <v>0</v>
      </c>
      <c r="I156" s="201"/>
      <c r="J156" s="201"/>
      <c r="K156" s="201"/>
      <c r="L156" s="201"/>
      <c r="M156" s="204">
        <f t="shared" si="55"/>
        <v>0</v>
      </c>
      <c r="N156" s="198"/>
      <c r="O156" s="198"/>
      <c r="P156" s="198"/>
      <c r="Q156" s="198"/>
      <c r="R156" s="198"/>
      <c r="S156" s="198"/>
    </row>
    <row r="157" spans="1:19" ht="30">
      <c r="A157" s="203">
        <v>15</v>
      </c>
      <c r="B157" s="202"/>
      <c r="C157" s="203" t="s">
        <v>294</v>
      </c>
      <c r="D157" s="208">
        <v>0.1</v>
      </c>
      <c r="E157" s="201"/>
      <c r="F157" s="201"/>
      <c r="G157" s="201"/>
      <c r="H157" s="209">
        <f>SUM(H7:H156)*0.1</f>
        <v>0</v>
      </c>
      <c r="I157" s="201"/>
      <c r="J157" s="201"/>
      <c r="K157" s="201"/>
      <c r="L157" s="201"/>
      <c r="M157" s="204">
        <f t="shared" si="55"/>
        <v>0</v>
      </c>
      <c r="N157" s="198"/>
      <c r="O157" s="198"/>
      <c r="P157" s="198"/>
      <c r="Q157" s="198"/>
      <c r="R157" s="198"/>
      <c r="S157" s="198"/>
    </row>
    <row r="158" spans="1:19" ht="15.75" thickBot="1">
      <c r="A158" s="210"/>
      <c r="B158" s="211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3"/>
      <c r="N158" s="198"/>
      <c r="O158" s="198"/>
      <c r="P158" s="198"/>
      <c r="Q158" s="198"/>
      <c r="R158" s="198"/>
      <c r="S158" s="198"/>
    </row>
    <row r="159" spans="1:19" s="220" customFormat="1" ht="15.75" thickBot="1">
      <c r="A159" s="214"/>
      <c r="B159" s="215"/>
      <c r="C159" s="216" t="s">
        <v>60</v>
      </c>
      <c r="D159" s="217"/>
      <c r="E159" s="214"/>
      <c r="F159" s="214"/>
      <c r="G159" s="214"/>
      <c r="H159" s="218">
        <f>SUM(H7:H158)</f>
        <v>0</v>
      </c>
      <c r="I159" s="214"/>
      <c r="J159" s="218">
        <f>SUM(J7:J158)</f>
        <v>0</v>
      </c>
      <c r="K159" s="214"/>
      <c r="L159" s="218">
        <f>SUM(L7:L158)</f>
        <v>0</v>
      </c>
      <c r="M159" s="218">
        <f>SUM(M7:M158)</f>
        <v>0</v>
      </c>
      <c r="N159" s="219"/>
      <c r="O159" s="219"/>
      <c r="P159" s="219"/>
      <c r="Q159" s="219"/>
      <c r="R159" s="219"/>
      <c r="S159" s="219"/>
    </row>
    <row r="160" spans="1:19" ht="15.75" thickBot="1">
      <c r="A160" s="221"/>
      <c r="B160" s="222"/>
      <c r="C160" s="223" t="s">
        <v>158</v>
      </c>
      <c r="D160" s="224">
        <v>0</v>
      </c>
      <c r="E160" s="225"/>
      <c r="F160" s="225"/>
      <c r="G160" s="225"/>
      <c r="H160" s="226">
        <f>H159*D160</f>
        <v>0</v>
      </c>
      <c r="I160" s="226"/>
      <c r="J160" s="226"/>
      <c r="K160" s="226"/>
      <c r="L160" s="226"/>
      <c r="M160" s="227">
        <f>H160</f>
        <v>0</v>
      </c>
      <c r="N160" s="198"/>
      <c r="O160" s="198"/>
      <c r="P160" s="198"/>
      <c r="Q160" s="198"/>
      <c r="R160" s="198"/>
      <c r="S160" s="198"/>
    </row>
    <row r="161" spans="1:19" ht="15.75" thickBot="1">
      <c r="A161" s="221"/>
      <c r="B161" s="222"/>
      <c r="C161" s="223" t="s">
        <v>60</v>
      </c>
      <c r="D161" s="223"/>
      <c r="E161" s="225"/>
      <c r="F161" s="225"/>
      <c r="G161" s="225"/>
      <c r="H161" s="226"/>
      <c r="I161" s="226"/>
      <c r="J161" s="226"/>
      <c r="K161" s="226"/>
      <c r="L161" s="226"/>
      <c r="M161" s="227">
        <f>M160+M159</f>
        <v>0</v>
      </c>
      <c r="N161" s="198"/>
      <c r="O161" s="198"/>
      <c r="P161" s="198"/>
      <c r="Q161" s="198"/>
      <c r="R161" s="198"/>
      <c r="S161" s="198"/>
    </row>
    <row r="162" spans="1:19" ht="15.75" thickBot="1">
      <c r="A162" s="221"/>
      <c r="B162" s="222"/>
      <c r="C162" s="228" t="s">
        <v>61</v>
      </c>
      <c r="D162" s="229">
        <v>0</v>
      </c>
      <c r="E162" s="225"/>
      <c r="F162" s="225"/>
      <c r="G162" s="225"/>
      <c r="H162" s="226"/>
      <c r="I162" s="226"/>
      <c r="J162" s="226"/>
      <c r="K162" s="226"/>
      <c r="L162" s="226"/>
      <c r="M162" s="227">
        <f>M161*D162</f>
        <v>0</v>
      </c>
      <c r="N162" s="198"/>
      <c r="O162" s="198"/>
      <c r="P162" s="198"/>
      <c r="Q162" s="198"/>
      <c r="R162" s="198"/>
      <c r="S162" s="198"/>
    </row>
    <row r="163" spans="1:19" ht="15.75" thickBot="1">
      <c r="A163" s="221"/>
      <c r="B163" s="222"/>
      <c r="C163" s="223" t="s">
        <v>60</v>
      </c>
      <c r="D163" s="223"/>
      <c r="E163" s="225"/>
      <c r="F163" s="225"/>
      <c r="G163" s="225"/>
      <c r="H163" s="226"/>
      <c r="I163" s="226"/>
      <c r="J163" s="226"/>
      <c r="K163" s="226"/>
      <c r="L163" s="226"/>
      <c r="M163" s="227">
        <f>M162+M161</f>
        <v>0</v>
      </c>
      <c r="N163" s="198"/>
      <c r="O163" s="198"/>
      <c r="P163" s="198"/>
      <c r="Q163" s="198"/>
      <c r="R163" s="198"/>
      <c r="S163" s="198"/>
    </row>
    <row r="164" spans="1:19" ht="15.75" thickBot="1">
      <c r="A164" s="221"/>
      <c r="B164" s="222"/>
      <c r="C164" s="228" t="s">
        <v>62</v>
      </c>
      <c r="D164" s="229">
        <v>0</v>
      </c>
      <c r="E164" s="225"/>
      <c r="F164" s="225"/>
      <c r="G164" s="225"/>
      <c r="H164" s="226"/>
      <c r="I164" s="226"/>
      <c r="J164" s="226"/>
      <c r="K164" s="226"/>
      <c r="L164" s="226"/>
      <c r="M164" s="227">
        <f>M163*D164</f>
        <v>0</v>
      </c>
      <c r="N164" s="198"/>
      <c r="O164" s="198"/>
      <c r="P164" s="198"/>
      <c r="Q164" s="198"/>
      <c r="R164" s="198"/>
      <c r="S164" s="198"/>
    </row>
    <row r="165" spans="1:19" ht="15.75" thickBot="1">
      <c r="A165" s="221"/>
      <c r="B165" s="222"/>
      <c r="C165" s="223" t="s">
        <v>60</v>
      </c>
      <c r="D165" s="223"/>
      <c r="E165" s="225"/>
      <c r="F165" s="225"/>
      <c r="G165" s="225"/>
      <c r="H165" s="226"/>
      <c r="I165" s="226"/>
      <c r="J165" s="226"/>
      <c r="K165" s="226"/>
      <c r="L165" s="226"/>
      <c r="M165" s="227">
        <f>M164+M163</f>
        <v>0</v>
      </c>
      <c r="N165" s="198"/>
      <c r="O165" s="198"/>
      <c r="P165" s="198"/>
      <c r="Q165" s="198"/>
      <c r="R165" s="198"/>
      <c r="S165" s="198"/>
    </row>
    <row r="166" spans="1:19" ht="15.75" thickBot="1">
      <c r="A166" s="221"/>
      <c r="B166" s="222"/>
      <c r="C166" s="228" t="s">
        <v>159</v>
      </c>
      <c r="D166" s="229">
        <v>0</v>
      </c>
      <c r="E166" s="225"/>
      <c r="F166" s="225"/>
      <c r="G166" s="225"/>
      <c r="H166" s="226"/>
      <c r="I166" s="226"/>
      <c r="J166" s="226"/>
      <c r="K166" s="226"/>
      <c r="L166" s="226"/>
      <c r="M166" s="227">
        <f>M165*D166</f>
        <v>0</v>
      </c>
      <c r="N166" s="198"/>
      <c r="O166" s="198"/>
      <c r="P166" s="198"/>
      <c r="Q166" s="198"/>
      <c r="R166" s="198"/>
      <c r="S166" s="198"/>
    </row>
    <row r="167" spans="1:19" ht="15.75" thickBot="1">
      <c r="A167" s="221"/>
      <c r="B167" s="222"/>
      <c r="C167" s="223" t="s">
        <v>60</v>
      </c>
      <c r="D167" s="223"/>
      <c r="E167" s="225"/>
      <c r="F167" s="225"/>
      <c r="G167" s="225"/>
      <c r="H167" s="226"/>
      <c r="I167" s="226"/>
      <c r="J167" s="226"/>
      <c r="K167" s="226"/>
      <c r="L167" s="226"/>
      <c r="M167" s="227">
        <f>M166+M165</f>
        <v>0</v>
      </c>
      <c r="N167" s="198"/>
      <c r="O167" s="198"/>
      <c r="P167" s="198"/>
      <c r="Q167" s="198"/>
      <c r="R167" s="198"/>
      <c r="S167" s="198"/>
    </row>
    <row r="168" spans="1:19" ht="15.75" thickBot="1">
      <c r="A168" s="221"/>
      <c r="B168" s="222"/>
      <c r="C168" s="223" t="s">
        <v>63</v>
      </c>
      <c r="D168" s="229">
        <v>0.18</v>
      </c>
      <c r="E168" s="225"/>
      <c r="F168" s="225"/>
      <c r="G168" s="225"/>
      <c r="H168" s="226"/>
      <c r="I168" s="226"/>
      <c r="J168" s="226"/>
      <c r="K168" s="226"/>
      <c r="L168" s="226"/>
      <c r="M168" s="227">
        <f>M167*D168</f>
        <v>0</v>
      </c>
      <c r="N168" s="198"/>
      <c r="O168" s="198"/>
      <c r="P168" s="198"/>
      <c r="Q168" s="198"/>
      <c r="R168" s="198"/>
      <c r="S168" s="198"/>
    </row>
    <row r="169" spans="1:19" ht="15.75" thickBot="1">
      <c r="A169" s="230"/>
      <c r="B169" s="231"/>
      <c r="C169" s="232" t="s">
        <v>60</v>
      </c>
      <c r="D169" s="232"/>
      <c r="E169" s="232"/>
      <c r="F169" s="232"/>
      <c r="G169" s="232"/>
      <c r="H169" s="233"/>
      <c r="I169" s="233"/>
      <c r="J169" s="233"/>
      <c r="K169" s="233"/>
      <c r="L169" s="233"/>
      <c r="M169" s="218">
        <f>M168+M167</f>
        <v>0</v>
      </c>
      <c r="N169" s="198"/>
      <c r="O169" s="198"/>
      <c r="P169" s="198"/>
      <c r="Q169" s="198"/>
      <c r="R169" s="198"/>
      <c r="S169" s="198"/>
    </row>
    <row r="170" spans="1:19" ht="15">
      <c r="A170" s="196"/>
      <c r="B170" s="197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</row>
    <row r="171" spans="1:19" ht="15">
      <c r="A171" s="196"/>
      <c r="B171" s="197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242"/>
      <c r="N171" s="198"/>
      <c r="O171" s="198"/>
      <c r="P171" s="198"/>
      <c r="Q171" s="198"/>
      <c r="R171" s="198"/>
      <c r="S171" s="198"/>
    </row>
    <row r="172" spans="1:19" ht="15">
      <c r="A172" s="196"/>
      <c r="B172" s="197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</row>
    <row r="173" spans="1:19" ht="15">
      <c r="A173" s="196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</row>
    <row r="174" spans="1:19" ht="15">
      <c r="A174" s="196"/>
      <c r="B174" s="197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</row>
    <row r="175" spans="1:19" ht="15">
      <c r="A175" s="196"/>
      <c r="B175" s="197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</row>
    <row r="176" spans="1:19" ht="15">
      <c r="A176" s="196"/>
      <c r="B176" s="197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</row>
    <row r="177" spans="1:19" ht="15">
      <c r="A177" s="196"/>
      <c r="B177" s="197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</row>
    <row r="178" spans="1:19" ht="15">
      <c r="A178" s="196"/>
      <c r="B178" s="197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</row>
    <row r="179" spans="1:19" ht="15">
      <c r="A179" s="196"/>
      <c r="B179" s="197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</row>
    <row r="180" spans="1:19" ht="15">
      <c r="A180" s="196"/>
      <c r="B180" s="197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</row>
    <row r="181" spans="1:19" ht="15">
      <c r="A181" s="196"/>
      <c r="B181" s="197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</row>
    <row r="182" spans="1:19" ht="15">
      <c r="A182" s="196"/>
      <c r="B182" s="197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</row>
    <row r="183" spans="1:19" ht="15">
      <c r="A183" s="196"/>
      <c r="B183" s="197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</row>
    <row r="184" spans="1:19" ht="15">
      <c r="A184" s="196"/>
      <c r="B184" s="197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</row>
    <row r="185" spans="1:19" ht="15">
      <c r="A185" s="196"/>
      <c r="B185" s="197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</row>
    <row r="186" spans="1:19" ht="15">
      <c r="A186" s="196"/>
      <c r="B186" s="197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</row>
    <row r="187" spans="1:19" ht="15">
      <c r="A187" s="196"/>
      <c r="B187" s="197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</row>
    <row r="188" spans="1:19" ht="15">
      <c r="A188" s="196"/>
      <c r="B188" s="197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</row>
    <row r="189" spans="1:19" ht="15">
      <c r="A189" s="196"/>
      <c r="B189" s="197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</row>
    <row r="190" spans="1:19" ht="15">
      <c r="A190" s="196"/>
      <c r="B190" s="197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</row>
    <row r="191" spans="1:19" ht="15">
      <c r="A191" s="196"/>
      <c r="B191" s="197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</row>
    <row r="192" spans="1:19" ht="15">
      <c r="A192" s="196"/>
      <c r="B192" s="197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</row>
    <row r="193" spans="1:19" ht="15">
      <c r="A193" s="196"/>
      <c r="B193" s="197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</row>
    <row r="194" spans="1:19" ht="15">
      <c r="A194" s="196"/>
      <c r="B194" s="197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</row>
    <row r="195" spans="1:19" ht="15">
      <c r="A195" s="196"/>
      <c r="B195" s="197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</row>
    <row r="196" spans="1:19" ht="15">
      <c r="A196" s="196"/>
      <c r="B196" s="197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</row>
    <row r="197" spans="1:19" ht="15">
      <c r="A197" s="196"/>
      <c r="B197" s="19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</row>
    <row r="198" spans="1:19" ht="15">
      <c r="A198" s="196"/>
      <c r="B198" s="197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</row>
    <row r="199" spans="1:19" ht="15">
      <c r="A199" s="196"/>
      <c r="B199" s="197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</row>
    <row r="200" spans="1:19" ht="15">
      <c r="A200" s="196"/>
      <c r="B200" s="197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</row>
    <row r="201" spans="1:19" ht="15">
      <c r="A201" s="196"/>
      <c r="B201" s="197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</row>
    <row r="202" spans="1:19" ht="15">
      <c r="A202" s="196"/>
      <c r="B202" s="197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</row>
    <row r="203" spans="1:19" ht="15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</row>
    <row r="204" spans="1:19" ht="15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</row>
    <row r="205" spans="1:19" ht="15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</row>
    <row r="206" spans="1:19" ht="15">
      <c r="A206" s="196"/>
      <c r="B206" s="197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</row>
    <row r="207" spans="1:19" ht="15">
      <c r="A207" s="196"/>
      <c r="B207" s="197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</row>
    <row r="208" spans="1:19" ht="15">
      <c r="A208" s="196"/>
      <c r="B208" s="197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</row>
    <row r="209" spans="1:19" ht="15">
      <c r="A209" s="196"/>
      <c r="B209" s="197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</row>
    <row r="210" spans="1:19" ht="15">
      <c r="A210" s="196"/>
      <c r="B210" s="197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</row>
    <row r="211" spans="1:19" ht="15">
      <c r="A211" s="196"/>
      <c r="B211" s="197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</row>
    <row r="212" spans="1:19" ht="15">
      <c r="A212" s="196"/>
      <c r="B212" s="197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</row>
    <row r="213" spans="1:19" ht="15">
      <c r="A213" s="196"/>
      <c r="B213" s="197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</row>
    <row r="214" spans="1:19" ht="15">
      <c r="A214" s="196"/>
      <c r="B214" s="197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</row>
    <row r="215" spans="1:19" ht="15">
      <c r="A215" s="196"/>
      <c r="B215" s="197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</row>
    <row r="216" spans="1:19" ht="15">
      <c r="A216" s="196"/>
      <c r="B216" s="197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</row>
    <row r="217" spans="1:19" ht="15">
      <c r="A217" s="196"/>
      <c r="B217" s="197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</row>
    <row r="218" spans="1:19" ht="15">
      <c r="A218" s="196"/>
      <c r="B218" s="19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</row>
    <row r="219" spans="1:19" ht="15">
      <c r="A219" s="196"/>
      <c r="B219" s="197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</row>
  </sheetData>
  <autoFilter ref="A6:M6" xr:uid="{B40FC3F6-0403-4A39-9BDF-C86B702C05C6}"/>
  <mergeCells count="8">
    <mergeCell ref="K4:L4"/>
    <mergeCell ref="M4:M5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3189-15D0-41F4-8FC1-FB4A152A1F72}">
  <sheetPr>
    <tabColor rgb="FFFFFF00"/>
  </sheetPr>
  <dimension ref="A1:K323"/>
  <sheetViews>
    <sheetView showGridLines="0" zoomScale="96" zoomScaleNormal="96" zoomScaleSheetLayoutView="100" workbookViewId="0">
      <selection activeCell="F329" sqref="F329"/>
    </sheetView>
  </sheetViews>
  <sheetFormatPr defaultColWidth="9.140625" defaultRowHeight="12.75"/>
  <cols>
    <col min="1" max="1" width="5.7109375" style="250" customWidth="1"/>
    <col min="2" max="2" width="74.140625" style="244" customWidth="1"/>
    <col min="3" max="3" width="10.7109375" style="309" customWidth="1"/>
    <col min="4" max="4" width="10.7109375" style="244" customWidth="1"/>
    <col min="5" max="5" width="18.7109375" style="244" customWidth="1"/>
    <col min="6" max="6" width="17.140625" style="244" customWidth="1"/>
    <col min="7" max="7" width="19.42578125" style="244" customWidth="1"/>
    <col min="8" max="8" width="19" style="244" customWidth="1"/>
    <col min="9" max="9" width="16.140625" style="244" customWidth="1"/>
    <col min="10" max="10" width="18" style="244" customWidth="1"/>
    <col min="11" max="11" width="20.140625" style="244" customWidth="1"/>
    <col min="12" max="16384" width="9.140625" style="243"/>
  </cols>
  <sheetData>
    <row r="1" spans="1:11" ht="24" customHeight="1">
      <c r="A1" s="247"/>
    </row>
    <row r="2" spans="1:11" ht="24" customHeight="1">
      <c r="A2" s="247"/>
      <c r="E2" s="248" t="s">
        <v>449</v>
      </c>
    </row>
    <row r="3" spans="1:11" ht="24" customHeight="1">
      <c r="A3" s="247"/>
      <c r="E3" s="249" t="s">
        <v>528</v>
      </c>
    </row>
    <row r="4" spans="1:11" ht="15"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5.75" thickBot="1">
      <c r="A5" s="251" t="s">
        <v>451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30" customHeight="1">
      <c r="A6" s="465" t="s">
        <v>166</v>
      </c>
      <c r="B6" s="467" t="s">
        <v>452</v>
      </c>
      <c r="C6" s="469" t="s">
        <v>453</v>
      </c>
      <c r="D6" s="471" t="s">
        <v>454</v>
      </c>
      <c r="E6" s="473" t="s">
        <v>455</v>
      </c>
      <c r="F6" s="463"/>
      <c r="G6" s="474" t="s">
        <v>456</v>
      </c>
      <c r="H6" s="474"/>
      <c r="I6" s="462" t="s">
        <v>457</v>
      </c>
      <c r="J6" s="462"/>
      <c r="K6" s="463" t="s">
        <v>458</v>
      </c>
    </row>
    <row r="7" spans="1:11" ht="33.75" customHeight="1" thickBot="1">
      <c r="A7" s="466"/>
      <c r="B7" s="468"/>
      <c r="C7" s="470"/>
      <c r="D7" s="472"/>
      <c r="E7" s="253" t="s">
        <v>459</v>
      </c>
      <c r="F7" s="254" t="s">
        <v>460</v>
      </c>
      <c r="G7" s="255" t="s">
        <v>461</v>
      </c>
      <c r="H7" s="256" t="s">
        <v>462</v>
      </c>
      <c r="I7" s="257" t="s">
        <v>463</v>
      </c>
      <c r="J7" s="258" t="s">
        <v>464</v>
      </c>
      <c r="K7" s="464"/>
    </row>
    <row r="8" spans="1:11" ht="23.25" customHeight="1">
      <c r="A8" s="310" t="s">
        <v>529</v>
      </c>
      <c r="B8" s="311"/>
      <c r="C8" s="312"/>
      <c r="D8" s="311"/>
      <c r="E8" s="313"/>
      <c r="F8" s="313"/>
      <c r="G8" s="313"/>
      <c r="H8" s="313"/>
      <c r="I8" s="313"/>
      <c r="J8" s="313"/>
      <c r="K8" s="313"/>
    </row>
    <row r="9" spans="1:11" ht="49.5" customHeight="1">
      <c r="A9" s="314">
        <v>1</v>
      </c>
      <c r="B9" s="413" t="s">
        <v>1033</v>
      </c>
      <c r="C9" s="315">
        <v>1</v>
      </c>
      <c r="D9" s="316" t="s">
        <v>470</v>
      </c>
      <c r="E9" s="269"/>
      <c r="F9" s="269">
        <f>E9*C9</f>
        <v>0</v>
      </c>
      <c r="G9" s="269"/>
      <c r="H9" s="269">
        <f>G9*C9</f>
        <v>0</v>
      </c>
      <c r="I9" s="269"/>
      <c r="J9" s="269">
        <f>I9*C9</f>
        <v>0</v>
      </c>
      <c r="K9" s="269">
        <f t="shared" ref="K9:K11" si="0">J9+H9+F9</f>
        <v>0</v>
      </c>
    </row>
    <row r="10" spans="1:11" ht="27" customHeight="1">
      <c r="A10" s="314">
        <v>2</v>
      </c>
      <c r="B10" s="413" t="s">
        <v>1034</v>
      </c>
      <c r="C10" s="315">
        <v>1</v>
      </c>
      <c r="D10" s="316" t="s">
        <v>470</v>
      </c>
      <c r="E10" s="269"/>
      <c r="F10" s="269">
        <f>E10*C10</f>
        <v>0</v>
      </c>
      <c r="G10" s="269"/>
      <c r="H10" s="269">
        <f>G10*C10</f>
        <v>0</v>
      </c>
      <c r="I10" s="269"/>
      <c r="J10" s="269">
        <f>I10*C10</f>
        <v>0</v>
      </c>
      <c r="K10" s="269">
        <f t="shared" si="0"/>
        <v>0</v>
      </c>
    </row>
    <row r="11" spans="1:11" ht="15">
      <c r="A11" s="314">
        <v>2</v>
      </c>
      <c r="B11" s="317" t="s">
        <v>482</v>
      </c>
      <c r="C11" s="315">
        <v>1</v>
      </c>
      <c r="D11" s="316" t="s">
        <v>470</v>
      </c>
      <c r="E11" s="269"/>
      <c r="F11" s="269">
        <f t="shared" ref="F11" si="1">E11*C11</f>
        <v>0</v>
      </c>
      <c r="G11" s="269"/>
      <c r="H11" s="269">
        <f t="shared" ref="H11" si="2">G11*C11</f>
        <v>0</v>
      </c>
      <c r="I11" s="269"/>
      <c r="J11" s="269">
        <f t="shared" ref="J11" si="3">I11*C11</f>
        <v>0</v>
      </c>
      <c r="K11" s="269">
        <f t="shared" si="0"/>
        <v>0</v>
      </c>
    </row>
    <row r="12" spans="1:11" ht="21" customHeight="1">
      <c r="A12" s="318" t="s">
        <v>530</v>
      </c>
      <c r="B12" s="319"/>
      <c r="C12" s="320"/>
      <c r="D12" s="319"/>
      <c r="E12" s="313"/>
      <c r="F12" s="313"/>
      <c r="G12" s="313"/>
      <c r="H12" s="313"/>
      <c r="I12" s="313"/>
      <c r="J12" s="313"/>
      <c r="K12" s="313"/>
    </row>
    <row r="13" spans="1:11" ht="15.95" customHeight="1">
      <c r="A13" s="314">
        <v>3</v>
      </c>
      <c r="B13" s="317" t="s">
        <v>531</v>
      </c>
      <c r="C13" s="315">
        <v>2400</v>
      </c>
      <c r="D13" s="316" t="s">
        <v>467</v>
      </c>
      <c r="E13" s="269"/>
      <c r="F13" s="269">
        <f t="shared" ref="F13:F19" si="4">E13*C13</f>
        <v>0</v>
      </c>
      <c r="G13" s="269"/>
      <c r="H13" s="269">
        <f t="shared" ref="H13:H21" si="5">G13*C13</f>
        <v>0</v>
      </c>
      <c r="I13" s="269"/>
      <c r="J13" s="269">
        <f t="shared" ref="J13:J21" si="6">I13*C13</f>
        <v>0</v>
      </c>
      <c r="K13" s="269">
        <f t="shared" ref="K13:K19" si="7">J13+H13+F13</f>
        <v>0</v>
      </c>
    </row>
    <row r="14" spans="1:11" s="263" customFormat="1" ht="15.95" customHeight="1">
      <c r="A14" s="314">
        <v>4</v>
      </c>
      <c r="B14" s="317" t="s">
        <v>532</v>
      </c>
      <c r="C14" s="315">
        <v>40</v>
      </c>
      <c r="D14" s="316" t="s">
        <v>467</v>
      </c>
      <c r="E14" s="269"/>
      <c r="F14" s="269">
        <f t="shared" si="4"/>
        <v>0</v>
      </c>
      <c r="G14" s="269"/>
      <c r="H14" s="269">
        <f t="shared" si="5"/>
        <v>0</v>
      </c>
      <c r="I14" s="269"/>
      <c r="J14" s="269">
        <f t="shared" si="6"/>
        <v>0</v>
      </c>
      <c r="K14" s="269">
        <f t="shared" si="7"/>
        <v>0</v>
      </c>
    </row>
    <row r="15" spans="1:11" ht="15.95" customHeight="1">
      <c r="A15" s="314">
        <v>5</v>
      </c>
      <c r="B15" s="317" t="s">
        <v>533</v>
      </c>
      <c r="C15" s="315">
        <v>150</v>
      </c>
      <c r="D15" s="316" t="s">
        <v>467</v>
      </c>
      <c r="E15" s="269"/>
      <c r="F15" s="269">
        <f t="shared" si="4"/>
        <v>0</v>
      </c>
      <c r="G15" s="269"/>
      <c r="H15" s="269">
        <f t="shared" si="5"/>
        <v>0</v>
      </c>
      <c r="I15" s="269"/>
      <c r="J15" s="269">
        <f t="shared" si="6"/>
        <v>0</v>
      </c>
      <c r="K15" s="269">
        <f t="shared" si="7"/>
        <v>0</v>
      </c>
    </row>
    <row r="16" spans="1:11" ht="15.95" customHeight="1">
      <c r="A16" s="314">
        <v>6</v>
      </c>
      <c r="B16" s="317" t="s">
        <v>534</v>
      </c>
      <c r="C16" s="315">
        <v>280</v>
      </c>
      <c r="D16" s="316" t="s">
        <v>467</v>
      </c>
      <c r="E16" s="269"/>
      <c r="F16" s="269">
        <f t="shared" si="4"/>
        <v>0</v>
      </c>
      <c r="G16" s="269"/>
      <c r="H16" s="269">
        <f t="shared" si="5"/>
        <v>0</v>
      </c>
      <c r="I16" s="269"/>
      <c r="J16" s="269">
        <f t="shared" si="6"/>
        <v>0</v>
      </c>
      <c r="K16" s="269">
        <f t="shared" si="7"/>
        <v>0</v>
      </c>
    </row>
    <row r="17" spans="1:11" ht="15.95" customHeight="1">
      <c r="A17" s="314">
        <v>7</v>
      </c>
      <c r="B17" s="317" t="s">
        <v>535</v>
      </c>
      <c r="C17" s="315">
        <v>370</v>
      </c>
      <c r="D17" s="316" t="s">
        <v>467</v>
      </c>
      <c r="E17" s="269"/>
      <c r="F17" s="269">
        <f t="shared" si="4"/>
        <v>0</v>
      </c>
      <c r="G17" s="269"/>
      <c r="H17" s="269">
        <f t="shared" si="5"/>
        <v>0</v>
      </c>
      <c r="I17" s="269"/>
      <c r="J17" s="269">
        <f t="shared" si="6"/>
        <v>0</v>
      </c>
      <c r="K17" s="269">
        <f t="shared" si="7"/>
        <v>0</v>
      </c>
    </row>
    <row r="18" spans="1:11" ht="15.95" customHeight="1">
      <c r="A18" s="314">
        <v>8</v>
      </c>
      <c r="B18" s="317" t="s">
        <v>536</v>
      </c>
      <c r="C18" s="315">
        <v>220</v>
      </c>
      <c r="D18" s="316" t="s">
        <v>467</v>
      </c>
      <c r="E18" s="269"/>
      <c r="F18" s="269">
        <f t="shared" si="4"/>
        <v>0</v>
      </c>
      <c r="G18" s="269"/>
      <c r="H18" s="269">
        <f t="shared" si="5"/>
        <v>0</v>
      </c>
      <c r="I18" s="269"/>
      <c r="J18" s="269">
        <f t="shared" si="6"/>
        <v>0</v>
      </c>
      <c r="K18" s="269">
        <f t="shared" si="7"/>
        <v>0</v>
      </c>
    </row>
    <row r="19" spans="1:11" ht="15.95" customHeight="1">
      <c r="A19" s="314">
        <v>9</v>
      </c>
      <c r="B19" s="317" t="s">
        <v>537</v>
      </c>
      <c r="C19" s="315">
        <v>650</v>
      </c>
      <c r="D19" s="316" t="s">
        <v>467</v>
      </c>
      <c r="E19" s="269"/>
      <c r="F19" s="269">
        <f t="shared" si="4"/>
        <v>0</v>
      </c>
      <c r="G19" s="269"/>
      <c r="H19" s="269">
        <f t="shared" si="5"/>
        <v>0</v>
      </c>
      <c r="I19" s="269"/>
      <c r="J19" s="269">
        <f t="shared" si="6"/>
        <v>0</v>
      </c>
      <c r="K19" s="269">
        <f t="shared" si="7"/>
        <v>0</v>
      </c>
    </row>
    <row r="20" spans="1:11" s="418" customFormat="1" ht="15.95" customHeight="1">
      <c r="A20" s="414">
        <v>10</v>
      </c>
      <c r="B20" s="413" t="s">
        <v>538</v>
      </c>
      <c r="C20" s="415">
        <v>100</v>
      </c>
      <c r="D20" s="416" t="s">
        <v>467</v>
      </c>
      <c r="E20" s="417"/>
      <c r="F20" s="417"/>
      <c r="G20" s="417"/>
      <c r="H20" s="417"/>
      <c r="I20" s="417"/>
      <c r="J20" s="417">
        <f t="shared" si="6"/>
        <v>0</v>
      </c>
      <c r="K20" s="417"/>
    </row>
    <row r="21" spans="1:11" ht="15.95" customHeight="1">
      <c r="A21" s="314">
        <v>10</v>
      </c>
      <c r="B21" s="281" t="s">
        <v>539</v>
      </c>
      <c r="C21" s="315">
        <v>100</v>
      </c>
      <c r="D21" s="316" t="s">
        <v>467</v>
      </c>
      <c r="E21" s="269"/>
      <c r="F21" s="269">
        <f t="shared" ref="F21" si="8">E21*C21</f>
        <v>0</v>
      </c>
      <c r="G21" s="269"/>
      <c r="H21" s="269">
        <f t="shared" si="5"/>
        <v>0</v>
      </c>
      <c r="I21" s="269"/>
      <c r="J21" s="269">
        <f t="shared" si="6"/>
        <v>0</v>
      </c>
      <c r="K21" s="269">
        <f t="shared" ref="K21:K43" si="9">J21+H21+F21</f>
        <v>0</v>
      </c>
    </row>
    <row r="22" spans="1:11" s="418" customFormat="1" ht="15.95" customHeight="1">
      <c r="A22" s="414">
        <v>11</v>
      </c>
      <c r="B22" s="413" t="s">
        <v>540</v>
      </c>
      <c r="C22" s="415">
        <v>300</v>
      </c>
      <c r="D22" s="416" t="s">
        <v>467</v>
      </c>
      <c r="E22" s="417"/>
      <c r="F22" s="417"/>
      <c r="G22" s="417"/>
      <c r="H22" s="417"/>
      <c r="I22" s="417"/>
      <c r="J22" s="417"/>
      <c r="K22" s="417">
        <f t="shared" si="9"/>
        <v>0</v>
      </c>
    </row>
    <row r="23" spans="1:11" ht="15.95" customHeight="1">
      <c r="A23" s="314">
        <v>11</v>
      </c>
      <c r="B23" s="281" t="s">
        <v>541</v>
      </c>
      <c r="C23" s="315">
        <v>300</v>
      </c>
      <c r="D23" s="316" t="s">
        <v>467</v>
      </c>
      <c r="E23" s="269"/>
      <c r="F23" s="269">
        <f t="shared" ref="F23:F43" si="10">E23*C23</f>
        <v>0</v>
      </c>
      <c r="G23" s="269"/>
      <c r="H23" s="269">
        <f t="shared" ref="H23:H43" si="11">G23*C23</f>
        <v>0</v>
      </c>
      <c r="I23" s="269"/>
      <c r="J23" s="269">
        <f t="shared" ref="J23:J43" si="12">I23*C23</f>
        <v>0</v>
      </c>
      <c r="K23" s="269">
        <f t="shared" si="9"/>
        <v>0</v>
      </c>
    </row>
    <row r="24" spans="1:11" ht="15.95" customHeight="1">
      <c r="A24" s="314">
        <v>12</v>
      </c>
      <c r="B24" s="281" t="s">
        <v>542</v>
      </c>
      <c r="C24" s="315">
        <v>150</v>
      </c>
      <c r="D24" s="316" t="s">
        <v>467</v>
      </c>
      <c r="E24" s="269"/>
      <c r="F24" s="269">
        <f t="shared" si="10"/>
        <v>0</v>
      </c>
      <c r="G24" s="269"/>
      <c r="H24" s="269">
        <f t="shared" si="11"/>
        <v>0</v>
      </c>
      <c r="I24" s="269"/>
      <c r="J24" s="269">
        <f t="shared" si="12"/>
        <v>0</v>
      </c>
      <c r="K24" s="269">
        <f t="shared" si="9"/>
        <v>0</v>
      </c>
    </row>
    <row r="25" spans="1:11" s="263" customFormat="1" ht="15.95" customHeight="1">
      <c r="A25" s="314">
        <v>13</v>
      </c>
      <c r="B25" s="317" t="s">
        <v>543</v>
      </c>
      <c r="C25" s="315">
        <v>30</v>
      </c>
      <c r="D25" s="316" t="s">
        <v>467</v>
      </c>
      <c r="E25" s="269"/>
      <c r="F25" s="269">
        <f t="shared" si="10"/>
        <v>0</v>
      </c>
      <c r="G25" s="269"/>
      <c r="H25" s="269">
        <f t="shared" si="11"/>
        <v>0</v>
      </c>
      <c r="I25" s="269"/>
      <c r="J25" s="269">
        <f t="shared" si="12"/>
        <v>0</v>
      </c>
      <c r="K25" s="269">
        <f t="shared" si="9"/>
        <v>0</v>
      </c>
    </row>
    <row r="26" spans="1:11" s="263" customFormat="1" ht="15.95" customHeight="1">
      <c r="A26" s="314">
        <v>14</v>
      </c>
      <c r="B26" s="317" t="s">
        <v>544</v>
      </c>
      <c r="C26" s="315">
        <v>30</v>
      </c>
      <c r="D26" s="316" t="s">
        <v>467</v>
      </c>
      <c r="E26" s="269"/>
      <c r="F26" s="269">
        <f t="shared" si="10"/>
        <v>0</v>
      </c>
      <c r="G26" s="269"/>
      <c r="H26" s="269">
        <f t="shared" si="11"/>
        <v>0</v>
      </c>
      <c r="I26" s="269"/>
      <c r="J26" s="269">
        <f t="shared" si="12"/>
        <v>0</v>
      </c>
      <c r="K26" s="269">
        <f t="shared" si="9"/>
        <v>0</v>
      </c>
    </row>
    <row r="27" spans="1:11" ht="15.95" customHeight="1">
      <c r="A27" s="314">
        <v>15</v>
      </c>
      <c r="B27" s="317" t="s">
        <v>545</v>
      </c>
      <c r="C27" s="315">
        <v>9500</v>
      </c>
      <c r="D27" s="316" t="s">
        <v>467</v>
      </c>
      <c r="E27" s="269"/>
      <c r="F27" s="269">
        <f t="shared" si="10"/>
        <v>0</v>
      </c>
      <c r="G27" s="269"/>
      <c r="H27" s="269">
        <f t="shared" si="11"/>
        <v>0</v>
      </c>
      <c r="I27" s="269"/>
      <c r="J27" s="269">
        <f t="shared" si="12"/>
        <v>0</v>
      </c>
      <c r="K27" s="269">
        <f t="shared" si="9"/>
        <v>0</v>
      </c>
    </row>
    <row r="28" spans="1:11" s="263" customFormat="1" ht="15.95" customHeight="1">
      <c r="A28" s="314">
        <v>16</v>
      </c>
      <c r="B28" s="317" t="s">
        <v>546</v>
      </c>
      <c r="C28" s="315">
        <v>6500</v>
      </c>
      <c r="D28" s="316" t="s">
        <v>467</v>
      </c>
      <c r="E28" s="269"/>
      <c r="F28" s="269">
        <f t="shared" si="10"/>
        <v>0</v>
      </c>
      <c r="G28" s="269"/>
      <c r="H28" s="269">
        <f t="shared" si="11"/>
        <v>0</v>
      </c>
      <c r="I28" s="269"/>
      <c r="J28" s="269">
        <f t="shared" si="12"/>
        <v>0</v>
      </c>
      <c r="K28" s="269">
        <f t="shared" si="9"/>
        <v>0</v>
      </c>
    </row>
    <row r="29" spans="1:11" s="263" customFormat="1" ht="15.95" customHeight="1">
      <c r="A29" s="314">
        <v>17</v>
      </c>
      <c r="B29" s="317" t="s">
        <v>547</v>
      </c>
      <c r="C29" s="315">
        <v>3500</v>
      </c>
      <c r="D29" s="316" t="s">
        <v>467</v>
      </c>
      <c r="E29" s="269"/>
      <c r="F29" s="269">
        <f t="shared" si="10"/>
        <v>0</v>
      </c>
      <c r="G29" s="269"/>
      <c r="H29" s="269">
        <f t="shared" si="11"/>
        <v>0</v>
      </c>
      <c r="I29" s="269"/>
      <c r="J29" s="269">
        <f t="shared" si="12"/>
        <v>0</v>
      </c>
      <c r="K29" s="269">
        <f t="shared" si="9"/>
        <v>0</v>
      </c>
    </row>
    <row r="30" spans="1:11" ht="15.95" customHeight="1">
      <c r="A30" s="314">
        <v>18</v>
      </c>
      <c r="B30" s="317" t="s">
        <v>548</v>
      </c>
      <c r="C30" s="315">
        <v>100</v>
      </c>
      <c r="D30" s="316" t="s">
        <v>467</v>
      </c>
      <c r="E30" s="269"/>
      <c r="F30" s="269">
        <f t="shared" si="10"/>
        <v>0</v>
      </c>
      <c r="G30" s="269"/>
      <c r="H30" s="269">
        <f t="shared" si="11"/>
        <v>0</v>
      </c>
      <c r="I30" s="269"/>
      <c r="J30" s="269">
        <f t="shared" si="12"/>
        <v>0</v>
      </c>
      <c r="K30" s="269">
        <f t="shared" si="9"/>
        <v>0</v>
      </c>
    </row>
    <row r="31" spans="1:11" ht="15.95" customHeight="1">
      <c r="A31" s="314">
        <v>19</v>
      </c>
      <c r="B31" s="317" t="s">
        <v>549</v>
      </c>
      <c r="C31" s="315">
        <v>300</v>
      </c>
      <c r="D31" s="316" t="s">
        <v>467</v>
      </c>
      <c r="E31" s="269"/>
      <c r="F31" s="269">
        <f t="shared" si="10"/>
        <v>0</v>
      </c>
      <c r="G31" s="269"/>
      <c r="H31" s="269">
        <f t="shared" si="11"/>
        <v>0</v>
      </c>
      <c r="I31" s="269"/>
      <c r="J31" s="269">
        <f t="shared" si="12"/>
        <v>0</v>
      </c>
      <c r="K31" s="269">
        <f t="shared" si="9"/>
        <v>0</v>
      </c>
    </row>
    <row r="32" spans="1:11" ht="15.95" customHeight="1">
      <c r="A32" s="314">
        <v>20</v>
      </c>
      <c r="B32" s="317" t="s">
        <v>550</v>
      </c>
      <c r="C32" s="315">
        <v>150</v>
      </c>
      <c r="D32" s="316" t="s">
        <v>467</v>
      </c>
      <c r="E32" s="269"/>
      <c r="F32" s="269">
        <f t="shared" si="10"/>
        <v>0</v>
      </c>
      <c r="G32" s="269"/>
      <c r="H32" s="269">
        <f t="shared" si="11"/>
        <v>0</v>
      </c>
      <c r="I32" s="269"/>
      <c r="J32" s="269">
        <f t="shared" si="12"/>
        <v>0</v>
      </c>
      <c r="K32" s="269">
        <f t="shared" si="9"/>
        <v>0</v>
      </c>
    </row>
    <row r="33" spans="1:11" ht="15.95" customHeight="1">
      <c r="A33" s="314">
        <v>21</v>
      </c>
      <c r="B33" s="317" t="s">
        <v>551</v>
      </c>
      <c r="C33" s="315">
        <v>30</v>
      </c>
      <c r="D33" s="316" t="s">
        <v>467</v>
      </c>
      <c r="E33" s="269"/>
      <c r="F33" s="269">
        <f t="shared" si="10"/>
        <v>0</v>
      </c>
      <c r="G33" s="269"/>
      <c r="H33" s="269">
        <f t="shared" si="11"/>
        <v>0</v>
      </c>
      <c r="I33" s="269"/>
      <c r="J33" s="269">
        <f t="shared" si="12"/>
        <v>0</v>
      </c>
      <c r="K33" s="269">
        <f t="shared" si="9"/>
        <v>0</v>
      </c>
    </row>
    <row r="34" spans="1:11" ht="15.95" customHeight="1">
      <c r="A34" s="314">
        <v>22</v>
      </c>
      <c r="B34" s="317" t="s">
        <v>552</v>
      </c>
      <c r="C34" s="315">
        <v>70</v>
      </c>
      <c r="D34" s="316" t="s">
        <v>467</v>
      </c>
      <c r="E34" s="269"/>
      <c r="F34" s="269">
        <f t="shared" si="10"/>
        <v>0</v>
      </c>
      <c r="G34" s="269"/>
      <c r="H34" s="269">
        <f t="shared" si="11"/>
        <v>0</v>
      </c>
      <c r="I34" s="269"/>
      <c r="J34" s="269">
        <f t="shared" si="12"/>
        <v>0</v>
      </c>
      <c r="K34" s="269">
        <f t="shared" si="9"/>
        <v>0</v>
      </c>
    </row>
    <row r="35" spans="1:11" ht="15.95" customHeight="1">
      <c r="A35" s="314">
        <v>23</v>
      </c>
      <c r="B35" s="317" t="s">
        <v>553</v>
      </c>
      <c r="C35" s="315">
        <v>130</v>
      </c>
      <c r="D35" s="316" t="s">
        <v>467</v>
      </c>
      <c r="E35" s="269"/>
      <c r="F35" s="269">
        <f t="shared" si="10"/>
        <v>0</v>
      </c>
      <c r="G35" s="269"/>
      <c r="H35" s="269">
        <f t="shared" si="11"/>
        <v>0</v>
      </c>
      <c r="I35" s="269"/>
      <c r="J35" s="269">
        <f t="shared" si="12"/>
        <v>0</v>
      </c>
      <c r="K35" s="269">
        <f t="shared" si="9"/>
        <v>0</v>
      </c>
    </row>
    <row r="36" spans="1:11" ht="15.95" customHeight="1">
      <c r="A36" s="314">
        <v>24</v>
      </c>
      <c r="B36" s="317" t="s">
        <v>554</v>
      </c>
      <c r="C36" s="315">
        <v>30</v>
      </c>
      <c r="D36" s="316" t="s">
        <v>467</v>
      </c>
      <c r="E36" s="269"/>
      <c r="F36" s="269">
        <f t="shared" si="10"/>
        <v>0</v>
      </c>
      <c r="G36" s="269"/>
      <c r="H36" s="269">
        <f t="shared" si="11"/>
        <v>0</v>
      </c>
      <c r="I36" s="269"/>
      <c r="J36" s="269">
        <f t="shared" si="12"/>
        <v>0</v>
      </c>
      <c r="K36" s="269">
        <f t="shared" si="9"/>
        <v>0</v>
      </c>
    </row>
    <row r="37" spans="1:11" s="263" customFormat="1" ht="15.95" customHeight="1">
      <c r="A37" s="314">
        <v>25</v>
      </c>
      <c r="B37" s="317" t="s">
        <v>555</v>
      </c>
      <c r="C37" s="315">
        <v>100</v>
      </c>
      <c r="D37" s="316" t="s">
        <v>467</v>
      </c>
      <c r="E37" s="269"/>
      <c r="F37" s="269">
        <f t="shared" si="10"/>
        <v>0</v>
      </c>
      <c r="G37" s="269"/>
      <c r="H37" s="269">
        <f t="shared" si="11"/>
        <v>0</v>
      </c>
      <c r="I37" s="269"/>
      <c r="J37" s="269">
        <f t="shared" si="12"/>
        <v>0</v>
      </c>
      <c r="K37" s="269">
        <f t="shared" si="9"/>
        <v>0</v>
      </c>
    </row>
    <row r="38" spans="1:11" ht="15.95" customHeight="1">
      <c r="A38" s="314">
        <v>26</v>
      </c>
      <c r="B38" s="317" t="s">
        <v>556</v>
      </c>
      <c r="C38" s="315">
        <v>220</v>
      </c>
      <c r="D38" s="316" t="s">
        <v>467</v>
      </c>
      <c r="E38" s="269"/>
      <c r="F38" s="269">
        <f t="shared" si="10"/>
        <v>0</v>
      </c>
      <c r="G38" s="269"/>
      <c r="H38" s="269">
        <f t="shared" si="11"/>
        <v>0</v>
      </c>
      <c r="I38" s="269"/>
      <c r="J38" s="269">
        <f t="shared" si="12"/>
        <v>0</v>
      </c>
      <c r="K38" s="269">
        <f t="shared" si="9"/>
        <v>0</v>
      </c>
    </row>
    <row r="39" spans="1:11" ht="15.95" customHeight="1">
      <c r="A39" s="314">
        <v>27</v>
      </c>
      <c r="B39" s="317" t="s">
        <v>557</v>
      </c>
      <c r="C39" s="315">
        <v>50</v>
      </c>
      <c r="D39" s="316" t="s">
        <v>467</v>
      </c>
      <c r="E39" s="269"/>
      <c r="F39" s="269">
        <f t="shared" si="10"/>
        <v>0</v>
      </c>
      <c r="G39" s="269"/>
      <c r="H39" s="269">
        <f t="shared" si="11"/>
        <v>0</v>
      </c>
      <c r="I39" s="269"/>
      <c r="J39" s="269">
        <f t="shared" si="12"/>
        <v>0</v>
      </c>
      <c r="K39" s="269">
        <f t="shared" si="9"/>
        <v>0</v>
      </c>
    </row>
    <row r="40" spans="1:11" s="418" customFormat="1" ht="15.95" customHeight="1">
      <c r="A40" s="414">
        <v>28</v>
      </c>
      <c r="B40" s="424" t="s">
        <v>558</v>
      </c>
      <c r="C40" s="415">
        <v>200</v>
      </c>
      <c r="D40" s="416" t="s">
        <v>467</v>
      </c>
      <c r="E40" s="417"/>
      <c r="F40" s="417">
        <f t="shared" si="10"/>
        <v>0</v>
      </c>
      <c r="G40" s="417"/>
      <c r="H40" s="417">
        <f t="shared" si="11"/>
        <v>0</v>
      </c>
      <c r="I40" s="417"/>
      <c r="J40" s="417">
        <f t="shared" si="12"/>
        <v>0</v>
      </c>
      <c r="K40" s="417">
        <f t="shared" si="9"/>
        <v>0</v>
      </c>
    </row>
    <row r="41" spans="1:11" ht="15.95" customHeight="1">
      <c r="A41" s="314">
        <v>29</v>
      </c>
      <c r="B41" s="317" t="s">
        <v>559</v>
      </c>
      <c r="C41" s="315">
        <v>150</v>
      </c>
      <c r="D41" s="316" t="s">
        <v>467</v>
      </c>
      <c r="E41" s="269"/>
      <c r="F41" s="269">
        <f t="shared" si="10"/>
        <v>0</v>
      </c>
      <c r="G41" s="269"/>
      <c r="H41" s="269">
        <f t="shared" si="11"/>
        <v>0</v>
      </c>
      <c r="I41" s="269"/>
      <c r="J41" s="269">
        <f t="shared" si="12"/>
        <v>0</v>
      </c>
      <c r="K41" s="269">
        <f t="shared" si="9"/>
        <v>0</v>
      </c>
    </row>
    <row r="42" spans="1:11" ht="15.95" customHeight="1">
      <c r="A42" s="314">
        <v>30</v>
      </c>
      <c r="B42" s="317" t="s">
        <v>560</v>
      </c>
      <c r="C42" s="315">
        <v>150</v>
      </c>
      <c r="D42" s="316" t="s">
        <v>467</v>
      </c>
      <c r="E42" s="269"/>
      <c r="F42" s="269">
        <f t="shared" si="10"/>
        <v>0</v>
      </c>
      <c r="G42" s="269"/>
      <c r="H42" s="269">
        <f t="shared" si="11"/>
        <v>0</v>
      </c>
      <c r="I42" s="269"/>
      <c r="J42" s="269">
        <f t="shared" si="12"/>
        <v>0</v>
      </c>
      <c r="K42" s="269">
        <f t="shared" si="9"/>
        <v>0</v>
      </c>
    </row>
    <row r="43" spans="1:11" ht="15">
      <c r="A43" s="314">
        <v>30</v>
      </c>
      <c r="B43" s="317" t="s">
        <v>482</v>
      </c>
      <c r="C43" s="315">
        <v>1</v>
      </c>
      <c r="D43" s="316" t="s">
        <v>483</v>
      </c>
      <c r="E43" s="269"/>
      <c r="F43" s="269">
        <f t="shared" si="10"/>
        <v>0</v>
      </c>
      <c r="G43" s="269"/>
      <c r="H43" s="269">
        <f t="shared" si="11"/>
        <v>0</v>
      </c>
      <c r="I43" s="269"/>
      <c r="J43" s="269">
        <f t="shared" si="12"/>
        <v>0</v>
      </c>
      <c r="K43" s="269">
        <f t="shared" si="9"/>
        <v>0</v>
      </c>
    </row>
    <row r="44" spans="1:11" s="263" customFormat="1" ht="22.5" customHeight="1">
      <c r="A44" s="271" t="s">
        <v>561</v>
      </c>
      <c r="B44" s="272"/>
      <c r="C44" s="273"/>
      <c r="D44" s="272"/>
      <c r="E44" s="262"/>
      <c r="F44" s="262"/>
      <c r="G44" s="262"/>
      <c r="H44" s="262"/>
      <c r="I44" s="262"/>
      <c r="J44" s="262"/>
      <c r="K44" s="262"/>
    </row>
    <row r="45" spans="1:11" ht="15.95" customHeight="1">
      <c r="A45" s="314">
        <v>31</v>
      </c>
      <c r="B45" s="321" t="s">
        <v>562</v>
      </c>
      <c r="C45" s="315">
        <v>4</v>
      </c>
      <c r="D45" s="316" t="s">
        <v>470</v>
      </c>
      <c r="E45" s="269"/>
      <c r="F45" s="269">
        <f t="shared" ref="F45:F67" si="13">E45*C45</f>
        <v>0</v>
      </c>
      <c r="G45" s="269"/>
      <c r="H45" s="269">
        <f t="shared" ref="H45:H67" si="14">G45*C45</f>
        <v>0</v>
      </c>
      <c r="I45" s="269"/>
      <c r="J45" s="269">
        <f t="shared" ref="J45:J67" si="15">I45*C45</f>
        <v>0</v>
      </c>
      <c r="K45" s="269">
        <f t="shared" ref="K45:K67" si="16">J45+H45+F45</f>
        <v>0</v>
      </c>
    </row>
    <row r="46" spans="1:11" ht="15.95" customHeight="1">
      <c r="A46" s="314">
        <v>32</v>
      </c>
      <c r="B46" s="322" t="s">
        <v>563</v>
      </c>
      <c r="C46" s="315">
        <v>4</v>
      </c>
      <c r="D46" s="316" t="s">
        <v>470</v>
      </c>
      <c r="E46" s="269"/>
      <c r="F46" s="269">
        <f t="shared" si="13"/>
        <v>0</v>
      </c>
      <c r="G46" s="269"/>
      <c r="H46" s="269">
        <f t="shared" si="14"/>
        <v>0</v>
      </c>
      <c r="I46" s="269"/>
      <c r="J46" s="269">
        <f t="shared" si="15"/>
        <v>0</v>
      </c>
      <c r="K46" s="269">
        <f t="shared" si="16"/>
        <v>0</v>
      </c>
    </row>
    <row r="47" spans="1:11" ht="15.95" customHeight="1">
      <c r="A47" s="314">
        <v>33</v>
      </c>
      <c r="B47" s="323" t="s">
        <v>564</v>
      </c>
      <c r="C47" s="315">
        <v>4</v>
      </c>
      <c r="D47" s="316" t="s">
        <v>470</v>
      </c>
      <c r="E47" s="269"/>
      <c r="F47" s="269">
        <f t="shared" si="13"/>
        <v>0</v>
      </c>
      <c r="G47" s="269"/>
      <c r="H47" s="269">
        <f t="shared" si="14"/>
        <v>0</v>
      </c>
      <c r="I47" s="269"/>
      <c r="J47" s="269">
        <f t="shared" si="15"/>
        <v>0</v>
      </c>
      <c r="K47" s="269">
        <f t="shared" si="16"/>
        <v>0</v>
      </c>
    </row>
    <row r="48" spans="1:11" ht="15.95" customHeight="1">
      <c r="A48" s="314">
        <v>34</v>
      </c>
      <c r="B48" s="317" t="s">
        <v>565</v>
      </c>
      <c r="C48" s="315">
        <v>1</v>
      </c>
      <c r="D48" s="316" t="s">
        <v>473</v>
      </c>
      <c r="E48" s="269"/>
      <c r="F48" s="269">
        <f t="shared" si="13"/>
        <v>0</v>
      </c>
      <c r="G48" s="269"/>
      <c r="H48" s="269">
        <f t="shared" si="14"/>
        <v>0</v>
      </c>
      <c r="I48" s="269"/>
      <c r="J48" s="269">
        <f t="shared" si="15"/>
        <v>0</v>
      </c>
      <c r="K48" s="269">
        <f t="shared" si="16"/>
        <v>0</v>
      </c>
    </row>
    <row r="49" spans="1:11" ht="15.95" customHeight="1">
      <c r="A49" s="314">
        <v>35</v>
      </c>
      <c r="B49" s="317" t="s">
        <v>566</v>
      </c>
      <c r="C49" s="315">
        <v>1</v>
      </c>
      <c r="D49" s="316" t="s">
        <v>473</v>
      </c>
      <c r="E49" s="269"/>
      <c r="F49" s="269">
        <f t="shared" si="13"/>
        <v>0</v>
      </c>
      <c r="G49" s="269"/>
      <c r="H49" s="269">
        <f t="shared" si="14"/>
        <v>0</v>
      </c>
      <c r="I49" s="269"/>
      <c r="J49" s="269">
        <f t="shared" si="15"/>
        <v>0</v>
      </c>
      <c r="K49" s="269">
        <f t="shared" si="16"/>
        <v>0</v>
      </c>
    </row>
    <row r="50" spans="1:11" ht="15.95" customHeight="1">
      <c r="A50" s="314">
        <v>36</v>
      </c>
      <c r="B50" s="317" t="s">
        <v>567</v>
      </c>
      <c r="C50" s="315">
        <v>10</v>
      </c>
      <c r="D50" s="316" t="s">
        <v>473</v>
      </c>
      <c r="E50" s="269"/>
      <c r="F50" s="269">
        <f t="shared" si="13"/>
        <v>0</v>
      </c>
      <c r="G50" s="269"/>
      <c r="H50" s="269">
        <f t="shared" si="14"/>
        <v>0</v>
      </c>
      <c r="I50" s="269"/>
      <c r="J50" s="269">
        <f t="shared" si="15"/>
        <v>0</v>
      </c>
      <c r="K50" s="269">
        <f t="shared" si="16"/>
        <v>0</v>
      </c>
    </row>
    <row r="51" spans="1:11" ht="15.95" customHeight="1">
      <c r="A51" s="314">
        <v>37</v>
      </c>
      <c r="B51" s="317" t="s">
        <v>568</v>
      </c>
      <c r="C51" s="315">
        <v>2</v>
      </c>
      <c r="D51" s="316" t="s">
        <v>473</v>
      </c>
      <c r="E51" s="269"/>
      <c r="F51" s="269">
        <f t="shared" si="13"/>
        <v>0</v>
      </c>
      <c r="G51" s="269"/>
      <c r="H51" s="269">
        <f t="shared" si="14"/>
        <v>0</v>
      </c>
      <c r="I51" s="269"/>
      <c r="J51" s="269">
        <f t="shared" si="15"/>
        <v>0</v>
      </c>
      <c r="K51" s="269">
        <f t="shared" si="16"/>
        <v>0</v>
      </c>
    </row>
    <row r="52" spans="1:11" ht="15.95" customHeight="1">
      <c r="A52" s="314">
        <v>38</v>
      </c>
      <c r="B52" s="317" t="s">
        <v>569</v>
      </c>
      <c r="C52" s="315">
        <v>1</v>
      </c>
      <c r="D52" s="316" t="s">
        <v>473</v>
      </c>
      <c r="E52" s="269"/>
      <c r="F52" s="269">
        <f t="shared" si="13"/>
        <v>0</v>
      </c>
      <c r="G52" s="269"/>
      <c r="H52" s="269">
        <f t="shared" si="14"/>
        <v>0</v>
      </c>
      <c r="I52" s="269"/>
      <c r="J52" s="269">
        <f t="shared" si="15"/>
        <v>0</v>
      </c>
      <c r="K52" s="269">
        <f t="shared" si="16"/>
        <v>0</v>
      </c>
    </row>
    <row r="53" spans="1:11" ht="15.95" customHeight="1">
      <c r="A53" s="314">
        <v>39</v>
      </c>
      <c r="B53" s="317" t="s">
        <v>570</v>
      </c>
      <c r="C53" s="315">
        <v>1</v>
      </c>
      <c r="D53" s="316" t="s">
        <v>473</v>
      </c>
      <c r="E53" s="269"/>
      <c r="F53" s="269">
        <f t="shared" si="13"/>
        <v>0</v>
      </c>
      <c r="G53" s="269"/>
      <c r="H53" s="269">
        <f t="shared" si="14"/>
        <v>0</v>
      </c>
      <c r="I53" s="269"/>
      <c r="J53" s="269">
        <f t="shared" si="15"/>
        <v>0</v>
      </c>
      <c r="K53" s="269">
        <f t="shared" si="16"/>
        <v>0</v>
      </c>
    </row>
    <row r="54" spans="1:11" ht="15.95" customHeight="1">
      <c r="A54" s="314">
        <v>40</v>
      </c>
      <c r="B54" s="317" t="s">
        <v>571</v>
      </c>
      <c r="C54" s="315">
        <v>1</v>
      </c>
      <c r="D54" s="316" t="s">
        <v>473</v>
      </c>
      <c r="E54" s="269"/>
      <c r="F54" s="269">
        <f t="shared" si="13"/>
        <v>0</v>
      </c>
      <c r="G54" s="269"/>
      <c r="H54" s="269">
        <f t="shared" si="14"/>
        <v>0</v>
      </c>
      <c r="I54" s="269"/>
      <c r="J54" s="269">
        <f t="shared" si="15"/>
        <v>0</v>
      </c>
      <c r="K54" s="269">
        <f t="shared" si="16"/>
        <v>0</v>
      </c>
    </row>
    <row r="55" spans="1:11" ht="15.95" customHeight="1">
      <c r="A55" s="314">
        <v>41</v>
      </c>
      <c r="B55" s="317" t="s">
        <v>572</v>
      </c>
      <c r="C55" s="315">
        <v>1</v>
      </c>
      <c r="D55" s="316" t="s">
        <v>473</v>
      </c>
      <c r="E55" s="269"/>
      <c r="F55" s="269">
        <f t="shared" si="13"/>
        <v>0</v>
      </c>
      <c r="G55" s="269"/>
      <c r="H55" s="269">
        <f t="shared" si="14"/>
        <v>0</v>
      </c>
      <c r="I55" s="269"/>
      <c r="J55" s="269">
        <f t="shared" si="15"/>
        <v>0</v>
      </c>
      <c r="K55" s="269">
        <f t="shared" si="16"/>
        <v>0</v>
      </c>
    </row>
    <row r="56" spans="1:11" ht="15.95" customHeight="1">
      <c r="A56" s="314">
        <v>42</v>
      </c>
      <c r="B56" s="317" t="s">
        <v>573</v>
      </c>
      <c r="C56" s="315">
        <v>5</v>
      </c>
      <c r="D56" s="316" t="s">
        <v>473</v>
      </c>
      <c r="E56" s="269"/>
      <c r="F56" s="269">
        <f t="shared" si="13"/>
        <v>0</v>
      </c>
      <c r="G56" s="269"/>
      <c r="H56" s="269">
        <f t="shared" si="14"/>
        <v>0</v>
      </c>
      <c r="I56" s="269"/>
      <c r="J56" s="269">
        <f t="shared" si="15"/>
        <v>0</v>
      </c>
      <c r="K56" s="269">
        <f t="shared" si="16"/>
        <v>0</v>
      </c>
    </row>
    <row r="57" spans="1:11" ht="15.95" customHeight="1">
      <c r="A57" s="314">
        <v>43</v>
      </c>
      <c r="B57" s="317" t="s">
        <v>574</v>
      </c>
      <c r="C57" s="315">
        <v>1</v>
      </c>
      <c r="D57" s="316" t="s">
        <v>473</v>
      </c>
      <c r="E57" s="269"/>
      <c r="F57" s="269">
        <f t="shared" si="13"/>
        <v>0</v>
      </c>
      <c r="G57" s="269"/>
      <c r="H57" s="269">
        <f t="shared" si="14"/>
        <v>0</v>
      </c>
      <c r="I57" s="269"/>
      <c r="J57" s="269">
        <f t="shared" si="15"/>
        <v>0</v>
      </c>
      <c r="K57" s="269">
        <f t="shared" si="16"/>
        <v>0</v>
      </c>
    </row>
    <row r="58" spans="1:11" ht="15.95" customHeight="1">
      <c r="A58" s="314">
        <v>44</v>
      </c>
      <c r="B58" s="324" t="s">
        <v>575</v>
      </c>
      <c r="C58" s="325">
        <v>1</v>
      </c>
      <c r="D58" s="326" t="s">
        <v>473</v>
      </c>
      <c r="E58" s="269"/>
      <c r="F58" s="269">
        <f t="shared" si="13"/>
        <v>0</v>
      </c>
      <c r="G58" s="269"/>
      <c r="H58" s="269">
        <f t="shared" si="14"/>
        <v>0</v>
      </c>
      <c r="I58" s="269"/>
      <c r="J58" s="269">
        <f t="shared" si="15"/>
        <v>0</v>
      </c>
      <c r="K58" s="269">
        <f t="shared" si="16"/>
        <v>0</v>
      </c>
    </row>
    <row r="59" spans="1:11" ht="15.95" customHeight="1">
      <c r="A59" s="314">
        <v>45</v>
      </c>
      <c r="B59" s="327" t="s">
        <v>576</v>
      </c>
      <c r="C59" s="325">
        <v>7</v>
      </c>
      <c r="D59" s="267" t="s">
        <v>473</v>
      </c>
      <c r="E59" s="269"/>
      <c r="F59" s="269">
        <f t="shared" si="13"/>
        <v>0</v>
      </c>
      <c r="G59" s="269"/>
      <c r="H59" s="269">
        <f t="shared" si="14"/>
        <v>0</v>
      </c>
      <c r="I59" s="269"/>
      <c r="J59" s="269">
        <f t="shared" si="15"/>
        <v>0</v>
      </c>
      <c r="K59" s="269">
        <f t="shared" si="16"/>
        <v>0</v>
      </c>
    </row>
    <row r="60" spans="1:11" ht="15.95" customHeight="1">
      <c r="A60" s="314">
        <v>46</v>
      </c>
      <c r="B60" s="328" t="s">
        <v>577</v>
      </c>
      <c r="C60" s="325">
        <v>7</v>
      </c>
      <c r="D60" s="267" t="s">
        <v>473</v>
      </c>
      <c r="E60" s="269"/>
      <c r="F60" s="269">
        <f t="shared" si="13"/>
        <v>0</v>
      </c>
      <c r="G60" s="269"/>
      <c r="H60" s="269">
        <f t="shared" si="14"/>
        <v>0</v>
      </c>
      <c r="I60" s="269"/>
      <c r="J60" s="269">
        <f t="shared" si="15"/>
        <v>0</v>
      </c>
      <c r="K60" s="269">
        <f t="shared" si="16"/>
        <v>0</v>
      </c>
    </row>
    <row r="61" spans="1:11" ht="15.95" customHeight="1">
      <c r="A61" s="314">
        <v>47</v>
      </c>
      <c r="B61" s="329" t="s">
        <v>578</v>
      </c>
      <c r="C61" s="325">
        <v>7</v>
      </c>
      <c r="D61" s="326" t="s">
        <v>473</v>
      </c>
      <c r="E61" s="269"/>
      <c r="F61" s="269">
        <f t="shared" si="13"/>
        <v>0</v>
      </c>
      <c r="G61" s="269"/>
      <c r="H61" s="269">
        <f t="shared" si="14"/>
        <v>0</v>
      </c>
      <c r="I61" s="269"/>
      <c r="J61" s="269">
        <f t="shared" si="15"/>
        <v>0</v>
      </c>
      <c r="K61" s="269">
        <f t="shared" si="16"/>
        <v>0</v>
      </c>
    </row>
    <row r="62" spans="1:11" ht="15.95" customHeight="1">
      <c r="A62" s="314">
        <v>48</v>
      </c>
      <c r="B62" s="329" t="s">
        <v>579</v>
      </c>
      <c r="C62" s="325">
        <v>7</v>
      </c>
      <c r="D62" s="326" t="s">
        <v>473</v>
      </c>
      <c r="E62" s="269"/>
      <c r="F62" s="269">
        <f t="shared" si="13"/>
        <v>0</v>
      </c>
      <c r="G62" s="269"/>
      <c r="H62" s="269">
        <f t="shared" si="14"/>
        <v>0</v>
      </c>
      <c r="I62" s="269"/>
      <c r="J62" s="269">
        <f t="shared" si="15"/>
        <v>0</v>
      </c>
      <c r="K62" s="269">
        <f t="shared" si="16"/>
        <v>0</v>
      </c>
    </row>
    <row r="63" spans="1:11" ht="15.95" customHeight="1">
      <c r="A63" s="314">
        <v>49</v>
      </c>
      <c r="B63" s="317" t="s">
        <v>580</v>
      </c>
      <c r="C63" s="330">
        <v>1</v>
      </c>
      <c r="D63" s="316" t="s">
        <v>473</v>
      </c>
      <c r="E63" s="269"/>
      <c r="F63" s="269">
        <f t="shared" si="13"/>
        <v>0</v>
      </c>
      <c r="G63" s="269"/>
      <c r="H63" s="269">
        <f t="shared" si="14"/>
        <v>0</v>
      </c>
      <c r="I63" s="269"/>
      <c r="J63" s="269">
        <f t="shared" si="15"/>
        <v>0</v>
      </c>
      <c r="K63" s="269">
        <f t="shared" si="16"/>
        <v>0</v>
      </c>
    </row>
    <row r="64" spans="1:11" ht="15.95" customHeight="1">
      <c r="A64" s="314">
        <v>50</v>
      </c>
      <c r="B64" s="317" t="s">
        <v>581</v>
      </c>
      <c r="C64" s="330">
        <v>3</v>
      </c>
      <c r="D64" s="316" t="s">
        <v>473</v>
      </c>
      <c r="E64" s="269"/>
      <c r="F64" s="269">
        <f t="shared" si="13"/>
        <v>0</v>
      </c>
      <c r="G64" s="269"/>
      <c r="H64" s="269">
        <f t="shared" si="14"/>
        <v>0</v>
      </c>
      <c r="I64" s="269"/>
      <c r="J64" s="269">
        <f t="shared" si="15"/>
        <v>0</v>
      </c>
      <c r="K64" s="269">
        <f t="shared" si="16"/>
        <v>0</v>
      </c>
    </row>
    <row r="65" spans="1:11" ht="19.5" customHeight="1">
      <c r="A65" s="314">
        <v>51</v>
      </c>
      <c r="B65" s="281" t="s">
        <v>582</v>
      </c>
      <c r="C65" s="315">
        <v>3</v>
      </c>
      <c r="D65" s="331" t="s">
        <v>583</v>
      </c>
      <c r="E65" s="269"/>
      <c r="F65" s="269">
        <f t="shared" si="13"/>
        <v>0</v>
      </c>
      <c r="G65" s="269"/>
      <c r="H65" s="269">
        <f t="shared" si="14"/>
        <v>0</v>
      </c>
      <c r="I65" s="269"/>
      <c r="J65" s="269">
        <f t="shared" si="15"/>
        <v>0</v>
      </c>
      <c r="K65" s="269">
        <f t="shared" si="16"/>
        <v>0</v>
      </c>
    </row>
    <row r="66" spans="1:11" ht="15.95" customHeight="1">
      <c r="A66" s="314">
        <v>52</v>
      </c>
      <c r="B66" s="281" t="s">
        <v>584</v>
      </c>
      <c r="C66" s="315">
        <v>1</v>
      </c>
      <c r="D66" s="331" t="s">
        <v>583</v>
      </c>
      <c r="E66" s="269"/>
      <c r="F66" s="269">
        <f t="shared" si="13"/>
        <v>0</v>
      </c>
      <c r="G66" s="269"/>
      <c r="H66" s="269">
        <f t="shared" si="14"/>
        <v>0</v>
      </c>
      <c r="I66" s="269"/>
      <c r="J66" s="269">
        <f t="shared" si="15"/>
        <v>0</v>
      </c>
      <c r="K66" s="269">
        <f t="shared" si="16"/>
        <v>0</v>
      </c>
    </row>
    <row r="67" spans="1:11" ht="15.95" customHeight="1">
      <c r="A67" s="314">
        <v>52</v>
      </c>
      <c r="B67" s="281" t="s">
        <v>585</v>
      </c>
      <c r="C67" s="315">
        <v>1</v>
      </c>
      <c r="D67" s="331" t="s">
        <v>483</v>
      </c>
      <c r="E67" s="269"/>
      <c r="F67" s="269">
        <f t="shared" si="13"/>
        <v>0</v>
      </c>
      <c r="G67" s="269"/>
      <c r="H67" s="269">
        <f t="shared" si="14"/>
        <v>0</v>
      </c>
      <c r="I67" s="269"/>
      <c r="J67" s="269">
        <f t="shared" si="15"/>
        <v>0</v>
      </c>
      <c r="K67" s="269">
        <f t="shared" si="16"/>
        <v>0</v>
      </c>
    </row>
    <row r="68" spans="1:11" ht="21" customHeight="1">
      <c r="A68" s="271" t="s">
        <v>586</v>
      </c>
      <c r="B68" s="272"/>
      <c r="C68" s="273"/>
      <c r="D68" s="272"/>
      <c r="E68" s="262"/>
      <c r="F68" s="262"/>
      <c r="G68" s="262"/>
      <c r="H68" s="262"/>
      <c r="I68" s="262"/>
      <c r="J68" s="262"/>
      <c r="K68" s="262"/>
    </row>
    <row r="69" spans="1:11" s="263" customFormat="1" ht="15.95" customHeight="1">
      <c r="A69" s="314">
        <v>53</v>
      </c>
      <c r="B69" s="332" t="s">
        <v>587</v>
      </c>
      <c r="C69" s="325">
        <v>1</v>
      </c>
      <c r="D69" s="326" t="s">
        <v>470</v>
      </c>
      <c r="E69" s="269"/>
      <c r="F69" s="269">
        <f t="shared" ref="F69:F89" si="17">E69*C69</f>
        <v>0</v>
      </c>
      <c r="G69" s="269"/>
      <c r="H69" s="269">
        <f t="shared" ref="H69:H89" si="18">G69*C69</f>
        <v>0</v>
      </c>
      <c r="I69" s="269"/>
      <c r="J69" s="269">
        <f t="shared" ref="J69:J89" si="19">I69*C69</f>
        <v>0</v>
      </c>
      <c r="K69" s="269">
        <f t="shared" ref="K69:K89" si="20">J69+H69+F69</f>
        <v>0</v>
      </c>
    </row>
    <row r="70" spans="1:11" s="263" customFormat="1" ht="15.95" customHeight="1">
      <c r="A70" s="314">
        <v>54</v>
      </c>
      <c r="B70" s="329" t="s">
        <v>588</v>
      </c>
      <c r="C70" s="325">
        <v>1</v>
      </c>
      <c r="D70" s="326" t="s">
        <v>473</v>
      </c>
      <c r="E70" s="269"/>
      <c r="F70" s="269">
        <f t="shared" si="17"/>
        <v>0</v>
      </c>
      <c r="G70" s="269"/>
      <c r="H70" s="269">
        <f t="shared" si="18"/>
        <v>0</v>
      </c>
      <c r="I70" s="269"/>
      <c r="J70" s="269">
        <f t="shared" si="19"/>
        <v>0</v>
      </c>
      <c r="K70" s="269">
        <f t="shared" si="20"/>
        <v>0</v>
      </c>
    </row>
    <row r="71" spans="1:11" s="263" customFormat="1" ht="15.95" customHeight="1">
      <c r="A71" s="314">
        <v>55</v>
      </c>
      <c r="B71" s="329" t="s">
        <v>579</v>
      </c>
      <c r="C71" s="325">
        <v>11</v>
      </c>
      <c r="D71" s="326" t="s">
        <v>473</v>
      </c>
      <c r="E71" s="269"/>
      <c r="F71" s="269">
        <f t="shared" si="17"/>
        <v>0</v>
      </c>
      <c r="G71" s="269"/>
      <c r="H71" s="269">
        <f t="shared" si="18"/>
        <v>0</v>
      </c>
      <c r="I71" s="269"/>
      <c r="J71" s="269">
        <f t="shared" si="19"/>
        <v>0</v>
      </c>
      <c r="K71" s="269">
        <f t="shared" si="20"/>
        <v>0</v>
      </c>
    </row>
    <row r="72" spans="1:11" s="263" customFormat="1" ht="15.95" customHeight="1">
      <c r="A72" s="314">
        <v>56</v>
      </c>
      <c r="B72" s="329" t="s">
        <v>578</v>
      </c>
      <c r="C72" s="325">
        <v>11</v>
      </c>
      <c r="D72" s="326" t="s">
        <v>473</v>
      </c>
      <c r="E72" s="269"/>
      <c r="F72" s="269">
        <f t="shared" si="17"/>
        <v>0</v>
      </c>
      <c r="G72" s="269"/>
      <c r="H72" s="269">
        <f t="shared" si="18"/>
        <v>0</v>
      </c>
      <c r="I72" s="269"/>
      <c r="J72" s="269">
        <f t="shared" si="19"/>
        <v>0</v>
      </c>
      <c r="K72" s="269">
        <f t="shared" si="20"/>
        <v>0</v>
      </c>
    </row>
    <row r="73" spans="1:11" s="263" customFormat="1" ht="15.95" customHeight="1">
      <c r="A73" s="314">
        <v>57</v>
      </c>
      <c r="B73" s="333" t="s">
        <v>589</v>
      </c>
      <c r="C73" s="325">
        <v>7</v>
      </c>
      <c r="D73" s="267" t="s">
        <v>473</v>
      </c>
      <c r="E73" s="269"/>
      <c r="F73" s="269">
        <f t="shared" si="17"/>
        <v>0</v>
      </c>
      <c r="G73" s="269"/>
      <c r="H73" s="269">
        <f t="shared" si="18"/>
        <v>0</v>
      </c>
      <c r="I73" s="269"/>
      <c r="J73" s="269">
        <f t="shared" si="19"/>
        <v>0</v>
      </c>
      <c r="K73" s="269">
        <f t="shared" si="20"/>
        <v>0</v>
      </c>
    </row>
    <row r="74" spans="1:11" s="263" customFormat="1" ht="15.95" customHeight="1">
      <c r="A74" s="314">
        <v>58</v>
      </c>
      <c r="B74" s="328" t="s">
        <v>577</v>
      </c>
      <c r="C74" s="325">
        <v>4</v>
      </c>
      <c r="D74" s="267" t="s">
        <v>473</v>
      </c>
      <c r="E74" s="269"/>
      <c r="F74" s="269">
        <f t="shared" si="17"/>
        <v>0</v>
      </c>
      <c r="G74" s="269"/>
      <c r="H74" s="269">
        <f t="shared" si="18"/>
        <v>0</v>
      </c>
      <c r="I74" s="269"/>
      <c r="J74" s="269">
        <f t="shared" si="19"/>
        <v>0</v>
      </c>
      <c r="K74" s="269">
        <f t="shared" si="20"/>
        <v>0</v>
      </c>
    </row>
    <row r="75" spans="1:11" s="263" customFormat="1" ht="15.95" customHeight="1">
      <c r="A75" s="314">
        <v>59</v>
      </c>
      <c r="B75" s="333" t="s">
        <v>590</v>
      </c>
      <c r="C75" s="325">
        <v>2</v>
      </c>
      <c r="D75" s="267" t="s">
        <v>473</v>
      </c>
      <c r="E75" s="269"/>
      <c r="F75" s="269">
        <f t="shared" si="17"/>
        <v>0</v>
      </c>
      <c r="G75" s="269"/>
      <c r="H75" s="269">
        <f t="shared" si="18"/>
        <v>0</v>
      </c>
      <c r="I75" s="269"/>
      <c r="J75" s="269">
        <f t="shared" si="19"/>
        <v>0</v>
      </c>
      <c r="K75" s="269">
        <f t="shared" si="20"/>
        <v>0</v>
      </c>
    </row>
    <row r="76" spans="1:11" s="263" customFormat="1" ht="15.95" customHeight="1">
      <c r="A76" s="314">
        <v>60</v>
      </c>
      <c r="B76" s="333" t="s">
        <v>591</v>
      </c>
      <c r="C76" s="325">
        <v>2</v>
      </c>
      <c r="D76" s="267" t="s">
        <v>473</v>
      </c>
      <c r="E76" s="269"/>
      <c r="F76" s="269">
        <f t="shared" si="17"/>
        <v>0</v>
      </c>
      <c r="G76" s="269"/>
      <c r="H76" s="269">
        <f t="shared" si="18"/>
        <v>0</v>
      </c>
      <c r="I76" s="269"/>
      <c r="J76" s="269">
        <f t="shared" si="19"/>
        <v>0</v>
      </c>
      <c r="K76" s="269">
        <f t="shared" si="20"/>
        <v>0</v>
      </c>
    </row>
    <row r="77" spans="1:11" s="263" customFormat="1" ht="27.75" customHeight="1">
      <c r="A77" s="314">
        <v>61</v>
      </c>
      <c r="B77" s="334" t="s">
        <v>592</v>
      </c>
      <c r="C77" s="325">
        <v>4</v>
      </c>
      <c r="D77" s="326" t="s">
        <v>473</v>
      </c>
      <c r="E77" s="269"/>
      <c r="F77" s="269">
        <f t="shared" si="17"/>
        <v>0</v>
      </c>
      <c r="G77" s="269"/>
      <c r="H77" s="269">
        <f t="shared" si="18"/>
        <v>0</v>
      </c>
      <c r="I77" s="269"/>
      <c r="J77" s="269">
        <f t="shared" si="19"/>
        <v>0</v>
      </c>
      <c r="K77" s="269">
        <f t="shared" si="20"/>
        <v>0</v>
      </c>
    </row>
    <row r="78" spans="1:11" s="263" customFormat="1" ht="27.75" customHeight="1">
      <c r="A78" s="314">
        <v>62</v>
      </c>
      <c r="B78" s="334" t="s">
        <v>593</v>
      </c>
      <c r="C78" s="325">
        <v>5</v>
      </c>
      <c r="D78" s="326" t="s">
        <v>473</v>
      </c>
      <c r="E78" s="269"/>
      <c r="F78" s="269">
        <f t="shared" si="17"/>
        <v>0</v>
      </c>
      <c r="G78" s="269"/>
      <c r="H78" s="269">
        <f t="shared" si="18"/>
        <v>0</v>
      </c>
      <c r="I78" s="269"/>
      <c r="J78" s="269">
        <f t="shared" si="19"/>
        <v>0</v>
      </c>
      <c r="K78" s="269">
        <f t="shared" si="20"/>
        <v>0</v>
      </c>
    </row>
    <row r="79" spans="1:11" s="263" customFormat="1" ht="15.95" customHeight="1">
      <c r="A79" s="314">
        <v>63</v>
      </c>
      <c r="B79" s="324" t="s">
        <v>575</v>
      </c>
      <c r="C79" s="325">
        <v>3</v>
      </c>
      <c r="D79" s="326" t="s">
        <v>473</v>
      </c>
      <c r="E79" s="269"/>
      <c r="F79" s="269">
        <f t="shared" si="17"/>
        <v>0</v>
      </c>
      <c r="G79" s="269"/>
      <c r="H79" s="269">
        <f t="shared" si="18"/>
        <v>0</v>
      </c>
      <c r="I79" s="269"/>
      <c r="J79" s="269">
        <f t="shared" si="19"/>
        <v>0</v>
      </c>
      <c r="K79" s="269">
        <f t="shared" si="20"/>
        <v>0</v>
      </c>
    </row>
    <row r="80" spans="1:11" s="263" customFormat="1" ht="15.95" customHeight="1">
      <c r="A80" s="314">
        <v>64</v>
      </c>
      <c r="B80" s="324" t="s">
        <v>594</v>
      </c>
      <c r="C80" s="325">
        <v>1</v>
      </c>
      <c r="D80" s="326" t="s">
        <v>473</v>
      </c>
      <c r="E80" s="269"/>
      <c r="F80" s="269">
        <f t="shared" si="17"/>
        <v>0</v>
      </c>
      <c r="G80" s="269"/>
      <c r="H80" s="269">
        <f t="shared" si="18"/>
        <v>0</v>
      </c>
      <c r="I80" s="269"/>
      <c r="J80" s="269">
        <f t="shared" si="19"/>
        <v>0</v>
      </c>
      <c r="K80" s="269">
        <f t="shared" si="20"/>
        <v>0</v>
      </c>
    </row>
    <row r="81" spans="1:11" s="263" customFormat="1" ht="15.95" customHeight="1">
      <c r="A81" s="314">
        <v>65</v>
      </c>
      <c r="B81" s="324" t="s">
        <v>595</v>
      </c>
      <c r="C81" s="325">
        <v>12</v>
      </c>
      <c r="D81" s="326" t="s">
        <v>473</v>
      </c>
      <c r="E81" s="269"/>
      <c r="F81" s="269">
        <f t="shared" si="17"/>
        <v>0</v>
      </c>
      <c r="G81" s="269"/>
      <c r="H81" s="269">
        <f t="shared" si="18"/>
        <v>0</v>
      </c>
      <c r="I81" s="269"/>
      <c r="J81" s="269">
        <f t="shared" si="19"/>
        <v>0</v>
      </c>
      <c r="K81" s="269">
        <f t="shared" si="20"/>
        <v>0</v>
      </c>
    </row>
    <row r="82" spans="1:11" s="263" customFormat="1" ht="15.95" customHeight="1">
      <c r="A82" s="314">
        <v>66</v>
      </c>
      <c r="B82" s="324" t="s">
        <v>596</v>
      </c>
      <c r="C82" s="325">
        <v>2</v>
      </c>
      <c r="D82" s="326" t="s">
        <v>473</v>
      </c>
      <c r="E82" s="269"/>
      <c r="F82" s="269">
        <f t="shared" si="17"/>
        <v>0</v>
      </c>
      <c r="G82" s="269"/>
      <c r="H82" s="269">
        <f t="shared" si="18"/>
        <v>0</v>
      </c>
      <c r="I82" s="269"/>
      <c r="J82" s="269">
        <f t="shared" si="19"/>
        <v>0</v>
      </c>
      <c r="K82" s="269">
        <f t="shared" si="20"/>
        <v>0</v>
      </c>
    </row>
    <row r="83" spans="1:11" s="263" customFormat="1" ht="15.95" customHeight="1">
      <c r="A83" s="314">
        <v>67</v>
      </c>
      <c r="B83" s="324" t="s">
        <v>597</v>
      </c>
      <c r="C83" s="325">
        <v>5</v>
      </c>
      <c r="D83" s="326" t="s">
        <v>473</v>
      </c>
      <c r="E83" s="269"/>
      <c r="F83" s="269">
        <f t="shared" si="17"/>
        <v>0</v>
      </c>
      <c r="G83" s="269"/>
      <c r="H83" s="269">
        <f t="shared" si="18"/>
        <v>0</v>
      </c>
      <c r="I83" s="269"/>
      <c r="J83" s="269">
        <f t="shared" si="19"/>
        <v>0</v>
      </c>
      <c r="K83" s="269">
        <f t="shared" si="20"/>
        <v>0</v>
      </c>
    </row>
    <row r="84" spans="1:11" s="263" customFormat="1" ht="15.95" customHeight="1">
      <c r="A84" s="314">
        <v>68</v>
      </c>
      <c r="B84" s="324" t="s">
        <v>598</v>
      </c>
      <c r="C84" s="325">
        <v>4</v>
      </c>
      <c r="D84" s="326" t="s">
        <v>473</v>
      </c>
      <c r="E84" s="269"/>
      <c r="F84" s="269">
        <f t="shared" si="17"/>
        <v>0</v>
      </c>
      <c r="G84" s="269"/>
      <c r="H84" s="269">
        <f t="shared" si="18"/>
        <v>0</v>
      </c>
      <c r="I84" s="269"/>
      <c r="J84" s="269">
        <f t="shared" si="19"/>
        <v>0</v>
      </c>
      <c r="K84" s="269">
        <f t="shared" si="20"/>
        <v>0</v>
      </c>
    </row>
    <row r="85" spans="1:11" s="263" customFormat="1" ht="15.95" customHeight="1">
      <c r="A85" s="314">
        <v>69</v>
      </c>
      <c r="B85" s="324" t="s">
        <v>599</v>
      </c>
      <c r="C85" s="325">
        <v>1</v>
      </c>
      <c r="D85" s="326" t="s">
        <v>473</v>
      </c>
      <c r="E85" s="269"/>
      <c r="F85" s="269">
        <f t="shared" si="17"/>
        <v>0</v>
      </c>
      <c r="G85" s="269"/>
      <c r="H85" s="269">
        <f t="shared" si="18"/>
        <v>0</v>
      </c>
      <c r="I85" s="269"/>
      <c r="J85" s="269">
        <f t="shared" si="19"/>
        <v>0</v>
      </c>
      <c r="K85" s="269">
        <f t="shared" si="20"/>
        <v>0</v>
      </c>
    </row>
    <row r="86" spans="1:11" s="263" customFormat="1" ht="15.95" customHeight="1">
      <c r="A86" s="314">
        <v>70</v>
      </c>
      <c r="B86" s="324" t="s">
        <v>600</v>
      </c>
      <c r="C86" s="325">
        <v>3</v>
      </c>
      <c r="D86" s="326" t="s">
        <v>473</v>
      </c>
      <c r="E86" s="269"/>
      <c r="F86" s="269">
        <f t="shared" si="17"/>
        <v>0</v>
      </c>
      <c r="G86" s="269"/>
      <c r="H86" s="269">
        <f t="shared" si="18"/>
        <v>0</v>
      </c>
      <c r="I86" s="269"/>
      <c r="J86" s="269">
        <f t="shared" si="19"/>
        <v>0</v>
      </c>
      <c r="K86" s="269">
        <f t="shared" si="20"/>
        <v>0</v>
      </c>
    </row>
    <row r="87" spans="1:11" s="263" customFormat="1" ht="15.95" customHeight="1">
      <c r="A87" s="314">
        <v>71</v>
      </c>
      <c r="B87" s="324" t="s">
        <v>601</v>
      </c>
      <c r="C87" s="325">
        <v>5</v>
      </c>
      <c r="D87" s="326" t="s">
        <v>473</v>
      </c>
      <c r="E87" s="269"/>
      <c r="F87" s="269">
        <f t="shared" si="17"/>
        <v>0</v>
      </c>
      <c r="G87" s="269"/>
      <c r="H87" s="269">
        <f t="shared" si="18"/>
        <v>0</v>
      </c>
      <c r="I87" s="269"/>
      <c r="J87" s="269">
        <f t="shared" si="19"/>
        <v>0</v>
      </c>
      <c r="K87" s="269">
        <f t="shared" si="20"/>
        <v>0</v>
      </c>
    </row>
    <row r="88" spans="1:11" s="263" customFormat="1" ht="15.95" customHeight="1">
      <c r="A88" s="314">
        <v>72</v>
      </c>
      <c r="B88" s="324" t="s">
        <v>602</v>
      </c>
      <c r="C88" s="325">
        <v>1</v>
      </c>
      <c r="D88" s="326" t="s">
        <v>473</v>
      </c>
      <c r="E88" s="269"/>
      <c r="F88" s="269">
        <f t="shared" si="17"/>
        <v>0</v>
      </c>
      <c r="G88" s="269"/>
      <c r="H88" s="269">
        <f t="shared" si="18"/>
        <v>0</v>
      </c>
      <c r="I88" s="269"/>
      <c r="J88" s="269">
        <f t="shared" si="19"/>
        <v>0</v>
      </c>
      <c r="K88" s="269">
        <f t="shared" si="20"/>
        <v>0</v>
      </c>
    </row>
    <row r="89" spans="1:11" ht="15.95" customHeight="1">
      <c r="A89" s="314">
        <v>72</v>
      </c>
      <c r="B89" s="281" t="s">
        <v>585</v>
      </c>
      <c r="C89" s="315">
        <v>1</v>
      </c>
      <c r="D89" s="331" t="s">
        <v>483</v>
      </c>
      <c r="E89" s="269"/>
      <c r="F89" s="269">
        <f t="shared" si="17"/>
        <v>0</v>
      </c>
      <c r="G89" s="269"/>
      <c r="H89" s="269">
        <f t="shared" si="18"/>
        <v>0</v>
      </c>
      <c r="I89" s="269"/>
      <c r="J89" s="269">
        <f t="shared" si="19"/>
        <v>0</v>
      </c>
      <c r="K89" s="269">
        <f t="shared" si="20"/>
        <v>0</v>
      </c>
    </row>
    <row r="90" spans="1:11" ht="22.5" customHeight="1">
      <c r="A90" s="271" t="s">
        <v>603</v>
      </c>
      <c r="B90" s="272"/>
      <c r="C90" s="273"/>
      <c r="D90" s="272"/>
      <c r="E90" s="262"/>
      <c r="F90" s="262"/>
      <c r="G90" s="262"/>
      <c r="H90" s="262"/>
      <c r="I90" s="262"/>
      <c r="J90" s="262"/>
      <c r="K90" s="262"/>
    </row>
    <row r="91" spans="1:11" s="263" customFormat="1" ht="15.95" customHeight="1">
      <c r="A91" s="264">
        <v>73</v>
      </c>
      <c r="B91" s="335" t="s">
        <v>604</v>
      </c>
      <c r="C91" s="325">
        <v>1</v>
      </c>
      <c r="D91" s="326" t="s">
        <v>470</v>
      </c>
      <c r="E91" s="269"/>
      <c r="F91" s="269">
        <f t="shared" ref="F91:F105" si="21">E91*C91</f>
        <v>0</v>
      </c>
      <c r="G91" s="269"/>
      <c r="H91" s="269">
        <f t="shared" ref="H91:H105" si="22">G91*C91</f>
        <v>0</v>
      </c>
      <c r="I91" s="269"/>
      <c r="J91" s="269">
        <f t="shared" ref="J91:J105" si="23">I91*C91</f>
        <v>0</v>
      </c>
      <c r="K91" s="269">
        <f t="shared" ref="K91:K105" si="24">J91+H91+F91</f>
        <v>0</v>
      </c>
    </row>
    <row r="92" spans="1:11" s="263" customFormat="1" ht="15.95" customHeight="1">
      <c r="A92" s="264">
        <v>74</v>
      </c>
      <c r="B92" s="334" t="s">
        <v>605</v>
      </c>
      <c r="C92" s="325">
        <v>3</v>
      </c>
      <c r="D92" s="326" t="s">
        <v>467</v>
      </c>
      <c r="E92" s="269"/>
      <c r="F92" s="269">
        <f t="shared" si="21"/>
        <v>0</v>
      </c>
      <c r="G92" s="269"/>
      <c r="H92" s="269">
        <f t="shared" si="22"/>
        <v>0</v>
      </c>
      <c r="I92" s="269"/>
      <c r="J92" s="269">
        <f t="shared" si="23"/>
        <v>0</v>
      </c>
      <c r="K92" s="269">
        <f t="shared" si="24"/>
        <v>0</v>
      </c>
    </row>
    <row r="93" spans="1:11" s="263" customFormat="1" ht="15.95" customHeight="1">
      <c r="A93" s="264">
        <v>75</v>
      </c>
      <c r="B93" s="334" t="s">
        <v>606</v>
      </c>
      <c r="C93" s="325">
        <v>37</v>
      </c>
      <c r="D93" s="326" t="s">
        <v>607</v>
      </c>
      <c r="E93" s="269"/>
      <c r="F93" s="269">
        <f t="shared" si="21"/>
        <v>0</v>
      </c>
      <c r="G93" s="269"/>
      <c r="H93" s="269">
        <f t="shared" si="22"/>
        <v>0</v>
      </c>
      <c r="I93" s="269"/>
      <c r="J93" s="269">
        <f t="shared" si="23"/>
        <v>0</v>
      </c>
      <c r="K93" s="269">
        <f t="shared" si="24"/>
        <v>0</v>
      </c>
    </row>
    <row r="94" spans="1:11" s="263" customFormat="1" ht="15.95" customHeight="1">
      <c r="A94" s="264">
        <v>76</v>
      </c>
      <c r="B94" s="329" t="s">
        <v>579</v>
      </c>
      <c r="C94" s="325">
        <v>7</v>
      </c>
      <c r="D94" s="326" t="s">
        <v>473</v>
      </c>
      <c r="E94" s="269"/>
      <c r="F94" s="269">
        <f t="shared" si="21"/>
        <v>0</v>
      </c>
      <c r="G94" s="269"/>
      <c r="H94" s="269">
        <f t="shared" si="22"/>
        <v>0</v>
      </c>
      <c r="I94" s="269"/>
      <c r="J94" s="269">
        <f t="shared" si="23"/>
        <v>0</v>
      </c>
      <c r="K94" s="269">
        <f t="shared" si="24"/>
        <v>0</v>
      </c>
    </row>
    <row r="95" spans="1:11" s="263" customFormat="1" ht="15.95" customHeight="1">
      <c r="A95" s="264">
        <v>77</v>
      </c>
      <c r="B95" s="329" t="s">
        <v>578</v>
      </c>
      <c r="C95" s="325">
        <v>7</v>
      </c>
      <c r="D95" s="326" t="s">
        <v>473</v>
      </c>
      <c r="E95" s="269"/>
      <c r="F95" s="269">
        <f t="shared" si="21"/>
        <v>0</v>
      </c>
      <c r="G95" s="269"/>
      <c r="H95" s="269">
        <f t="shared" si="22"/>
        <v>0</v>
      </c>
      <c r="I95" s="269"/>
      <c r="J95" s="269">
        <f t="shared" si="23"/>
        <v>0</v>
      </c>
      <c r="K95" s="269">
        <f t="shared" si="24"/>
        <v>0</v>
      </c>
    </row>
    <row r="96" spans="1:11" s="263" customFormat="1" ht="15.95" customHeight="1">
      <c r="A96" s="264">
        <v>78</v>
      </c>
      <c r="B96" s="333" t="s">
        <v>589</v>
      </c>
      <c r="C96" s="325">
        <v>7</v>
      </c>
      <c r="D96" s="267" t="s">
        <v>473</v>
      </c>
      <c r="E96" s="269"/>
      <c r="F96" s="269">
        <f t="shared" si="21"/>
        <v>0</v>
      </c>
      <c r="G96" s="269"/>
      <c r="H96" s="269">
        <f t="shared" si="22"/>
        <v>0</v>
      </c>
      <c r="I96" s="269"/>
      <c r="J96" s="269">
        <f t="shared" si="23"/>
        <v>0</v>
      </c>
      <c r="K96" s="269">
        <f t="shared" si="24"/>
        <v>0</v>
      </c>
    </row>
    <row r="97" spans="1:11" s="263" customFormat="1" ht="26.25" customHeight="1">
      <c r="A97" s="264">
        <v>79</v>
      </c>
      <c r="B97" s="334" t="s">
        <v>592</v>
      </c>
      <c r="C97" s="325">
        <v>4</v>
      </c>
      <c r="D97" s="326" t="s">
        <v>473</v>
      </c>
      <c r="E97" s="269"/>
      <c r="F97" s="269">
        <f t="shared" si="21"/>
        <v>0</v>
      </c>
      <c r="G97" s="269"/>
      <c r="H97" s="269">
        <f t="shared" si="22"/>
        <v>0</v>
      </c>
      <c r="I97" s="269"/>
      <c r="J97" s="269">
        <f t="shared" si="23"/>
        <v>0</v>
      </c>
      <c r="K97" s="269">
        <f t="shared" si="24"/>
        <v>0</v>
      </c>
    </row>
    <row r="98" spans="1:11" s="263" customFormat="1" ht="26.25" customHeight="1">
      <c r="A98" s="264">
        <v>80</v>
      </c>
      <c r="B98" s="334" t="s">
        <v>593</v>
      </c>
      <c r="C98" s="325">
        <v>1</v>
      </c>
      <c r="D98" s="326" t="s">
        <v>473</v>
      </c>
      <c r="E98" s="269"/>
      <c r="F98" s="269">
        <f t="shared" si="21"/>
        <v>0</v>
      </c>
      <c r="G98" s="269"/>
      <c r="H98" s="269">
        <f t="shared" si="22"/>
        <v>0</v>
      </c>
      <c r="I98" s="269"/>
      <c r="J98" s="269">
        <f t="shared" si="23"/>
        <v>0</v>
      </c>
      <c r="K98" s="269">
        <f t="shared" si="24"/>
        <v>0</v>
      </c>
    </row>
    <row r="99" spans="1:11" s="263" customFormat="1" ht="15.95" customHeight="1">
      <c r="A99" s="264">
        <v>81</v>
      </c>
      <c r="B99" s="324" t="s">
        <v>575</v>
      </c>
      <c r="C99" s="325">
        <v>1</v>
      </c>
      <c r="D99" s="326" t="s">
        <v>473</v>
      </c>
      <c r="E99" s="269"/>
      <c r="F99" s="269">
        <f t="shared" si="21"/>
        <v>0</v>
      </c>
      <c r="G99" s="269"/>
      <c r="H99" s="269">
        <f t="shared" si="22"/>
        <v>0</v>
      </c>
      <c r="I99" s="269"/>
      <c r="J99" s="269">
        <f t="shared" si="23"/>
        <v>0</v>
      </c>
      <c r="K99" s="269">
        <f t="shared" si="24"/>
        <v>0</v>
      </c>
    </row>
    <row r="100" spans="1:11" s="263" customFormat="1" ht="15.95" customHeight="1">
      <c r="A100" s="264">
        <v>82</v>
      </c>
      <c r="B100" s="324" t="s">
        <v>594</v>
      </c>
      <c r="C100" s="325">
        <v>3</v>
      </c>
      <c r="D100" s="326" t="s">
        <v>473</v>
      </c>
      <c r="E100" s="269"/>
      <c r="F100" s="269">
        <f t="shared" si="21"/>
        <v>0</v>
      </c>
      <c r="G100" s="269"/>
      <c r="H100" s="269">
        <f t="shared" si="22"/>
        <v>0</v>
      </c>
      <c r="I100" s="269"/>
      <c r="J100" s="269">
        <f t="shared" si="23"/>
        <v>0</v>
      </c>
      <c r="K100" s="269">
        <f t="shared" si="24"/>
        <v>0</v>
      </c>
    </row>
    <row r="101" spans="1:11" s="263" customFormat="1" ht="15.95" customHeight="1">
      <c r="A101" s="264">
        <v>83</v>
      </c>
      <c r="B101" s="324" t="s">
        <v>595</v>
      </c>
      <c r="C101" s="325">
        <v>10</v>
      </c>
      <c r="D101" s="326" t="s">
        <v>473</v>
      </c>
      <c r="E101" s="269"/>
      <c r="F101" s="269">
        <f t="shared" si="21"/>
        <v>0</v>
      </c>
      <c r="G101" s="269"/>
      <c r="H101" s="269">
        <f t="shared" si="22"/>
        <v>0</v>
      </c>
      <c r="I101" s="269"/>
      <c r="J101" s="269">
        <f t="shared" si="23"/>
        <v>0</v>
      </c>
      <c r="K101" s="269">
        <f t="shared" si="24"/>
        <v>0</v>
      </c>
    </row>
    <row r="102" spans="1:11" s="263" customFormat="1" ht="15.95" customHeight="1">
      <c r="A102" s="264">
        <v>84</v>
      </c>
      <c r="B102" s="324" t="s">
        <v>596</v>
      </c>
      <c r="C102" s="325">
        <v>3</v>
      </c>
      <c r="D102" s="326" t="s">
        <v>473</v>
      </c>
      <c r="E102" s="269"/>
      <c r="F102" s="269">
        <f t="shared" si="21"/>
        <v>0</v>
      </c>
      <c r="G102" s="269"/>
      <c r="H102" s="269">
        <f t="shared" si="22"/>
        <v>0</v>
      </c>
      <c r="I102" s="269"/>
      <c r="J102" s="269">
        <f t="shared" si="23"/>
        <v>0</v>
      </c>
      <c r="K102" s="269">
        <f t="shared" si="24"/>
        <v>0</v>
      </c>
    </row>
    <row r="103" spans="1:11" s="263" customFormat="1" ht="15.95" customHeight="1">
      <c r="A103" s="264">
        <v>85</v>
      </c>
      <c r="B103" s="324" t="s">
        <v>600</v>
      </c>
      <c r="C103" s="325">
        <v>1</v>
      </c>
      <c r="D103" s="326" t="s">
        <v>473</v>
      </c>
      <c r="E103" s="269"/>
      <c r="F103" s="269">
        <f t="shared" si="21"/>
        <v>0</v>
      </c>
      <c r="G103" s="269"/>
      <c r="H103" s="269">
        <f t="shared" si="22"/>
        <v>0</v>
      </c>
      <c r="I103" s="269"/>
      <c r="J103" s="269">
        <f t="shared" si="23"/>
        <v>0</v>
      </c>
      <c r="K103" s="269">
        <f t="shared" si="24"/>
        <v>0</v>
      </c>
    </row>
    <row r="104" spans="1:11" s="263" customFormat="1" ht="15.95" customHeight="1">
      <c r="A104" s="264">
        <v>86</v>
      </c>
      <c r="B104" s="324" t="s">
        <v>608</v>
      </c>
      <c r="C104" s="325">
        <v>1</v>
      </c>
      <c r="D104" s="326" t="s">
        <v>473</v>
      </c>
      <c r="E104" s="269"/>
      <c r="F104" s="269">
        <f t="shared" si="21"/>
        <v>0</v>
      </c>
      <c r="G104" s="269"/>
      <c r="H104" s="269">
        <f t="shared" si="22"/>
        <v>0</v>
      </c>
      <c r="I104" s="269"/>
      <c r="J104" s="269">
        <f t="shared" si="23"/>
        <v>0</v>
      </c>
      <c r="K104" s="269">
        <f t="shared" si="24"/>
        <v>0</v>
      </c>
    </row>
    <row r="105" spans="1:11" ht="15.95" customHeight="1">
      <c r="A105" s="264">
        <v>86</v>
      </c>
      <c r="B105" s="281" t="s">
        <v>585</v>
      </c>
      <c r="C105" s="315">
        <v>1</v>
      </c>
      <c r="D105" s="331" t="s">
        <v>483</v>
      </c>
      <c r="E105" s="269"/>
      <c r="F105" s="269">
        <f t="shared" si="21"/>
        <v>0</v>
      </c>
      <c r="G105" s="269"/>
      <c r="H105" s="269">
        <f t="shared" si="22"/>
        <v>0</v>
      </c>
      <c r="I105" s="269"/>
      <c r="J105" s="269">
        <f t="shared" si="23"/>
        <v>0</v>
      </c>
      <c r="K105" s="269">
        <f t="shared" si="24"/>
        <v>0</v>
      </c>
    </row>
    <row r="106" spans="1:11" s="263" customFormat="1" ht="21" customHeight="1">
      <c r="A106" s="271" t="s">
        <v>609</v>
      </c>
      <c r="B106" s="272"/>
      <c r="C106" s="273"/>
      <c r="D106" s="272"/>
      <c r="E106" s="262"/>
      <c r="F106" s="262"/>
      <c r="G106" s="262"/>
      <c r="H106" s="262"/>
      <c r="I106" s="262"/>
      <c r="J106" s="262"/>
      <c r="K106" s="262"/>
    </row>
    <row r="107" spans="1:11" s="263" customFormat="1" ht="15.95" customHeight="1">
      <c r="A107" s="264">
        <v>87</v>
      </c>
      <c r="B107" s="335" t="s">
        <v>610</v>
      </c>
      <c r="C107" s="325">
        <v>1</v>
      </c>
      <c r="D107" s="326" t="s">
        <v>470</v>
      </c>
      <c r="E107" s="269"/>
      <c r="F107" s="269">
        <f t="shared" ref="F107:F120" si="25">E107*C107</f>
        <v>0</v>
      </c>
      <c r="G107" s="269"/>
      <c r="H107" s="269">
        <f t="shared" ref="H107:H120" si="26">G107*C107</f>
        <v>0</v>
      </c>
      <c r="I107" s="269"/>
      <c r="J107" s="269">
        <f t="shared" ref="J107:J120" si="27">I107*C107</f>
        <v>0</v>
      </c>
      <c r="K107" s="269">
        <f t="shared" ref="K107:K120" si="28">J107+H107+F107</f>
        <v>0</v>
      </c>
    </row>
    <row r="108" spans="1:11" s="263" customFormat="1" ht="15.95" customHeight="1">
      <c r="A108" s="264">
        <v>88</v>
      </c>
      <c r="B108" s="334" t="s">
        <v>611</v>
      </c>
      <c r="C108" s="325">
        <v>3</v>
      </c>
      <c r="D108" s="326" t="s">
        <v>467</v>
      </c>
      <c r="E108" s="269"/>
      <c r="F108" s="269">
        <f t="shared" si="25"/>
        <v>0</v>
      </c>
      <c r="G108" s="269"/>
      <c r="H108" s="269">
        <f t="shared" si="26"/>
        <v>0</v>
      </c>
      <c r="I108" s="269"/>
      <c r="J108" s="269">
        <f t="shared" si="27"/>
        <v>0</v>
      </c>
      <c r="K108" s="269">
        <f t="shared" si="28"/>
        <v>0</v>
      </c>
    </row>
    <row r="109" spans="1:11" s="263" customFormat="1" ht="15.95" customHeight="1">
      <c r="A109" s="264">
        <v>89</v>
      </c>
      <c r="B109" s="334" t="s">
        <v>606</v>
      </c>
      <c r="C109" s="325">
        <v>22</v>
      </c>
      <c r="D109" s="326" t="s">
        <v>607</v>
      </c>
      <c r="E109" s="269"/>
      <c r="F109" s="269">
        <f t="shared" si="25"/>
        <v>0</v>
      </c>
      <c r="G109" s="269"/>
      <c r="H109" s="269">
        <f t="shared" si="26"/>
        <v>0</v>
      </c>
      <c r="I109" s="269"/>
      <c r="J109" s="269">
        <f t="shared" si="27"/>
        <v>0</v>
      </c>
      <c r="K109" s="269">
        <f t="shared" si="28"/>
        <v>0</v>
      </c>
    </row>
    <row r="110" spans="1:11" s="263" customFormat="1" ht="15.95" customHeight="1">
      <c r="A110" s="264">
        <v>90</v>
      </c>
      <c r="B110" s="329" t="s">
        <v>588</v>
      </c>
      <c r="C110" s="325">
        <v>2</v>
      </c>
      <c r="D110" s="326" t="s">
        <v>473</v>
      </c>
      <c r="E110" s="269"/>
      <c r="F110" s="269">
        <f t="shared" si="25"/>
        <v>0</v>
      </c>
      <c r="G110" s="269"/>
      <c r="H110" s="269">
        <f t="shared" si="26"/>
        <v>0</v>
      </c>
      <c r="I110" s="269"/>
      <c r="J110" s="269">
        <f t="shared" si="27"/>
        <v>0</v>
      </c>
      <c r="K110" s="269">
        <f t="shared" si="28"/>
        <v>0</v>
      </c>
    </row>
    <row r="111" spans="1:11" s="263" customFormat="1" ht="15.95" customHeight="1">
      <c r="A111" s="264">
        <v>91</v>
      </c>
      <c r="B111" s="329" t="s">
        <v>579</v>
      </c>
      <c r="C111" s="325">
        <v>2</v>
      </c>
      <c r="D111" s="326" t="s">
        <v>473</v>
      </c>
      <c r="E111" s="269"/>
      <c r="F111" s="269">
        <f t="shared" si="25"/>
        <v>0</v>
      </c>
      <c r="G111" s="269"/>
      <c r="H111" s="269">
        <f t="shared" si="26"/>
        <v>0</v>
      </c>
      <c r="I111" s="269"/>
      <c r="J111" s="269">
        <f t="shared" si="27"/>
        <v>0</v>
      </c>
      <c r="K111" s="269">
        <f t="shared" si="28"/>
        <v>0</v>
      </c>
    </row>
    <row r="112" spans="1:11" s="263" customFormat="1" ht="15.95" customHeight="1">
      <c r="A112" s="264">
        <v>92</v>
      </c>
      <c r="B112" s="329" t="s">
        <v>578</v>
      </c>
      <c r="C112" s="325">
        <v>2</v>
      </c>
      <c r="D112" s="326" t="s">
        <v>473</v>
      </c>
      <c r="E112" s="269"/>
      <c r="F112" s="269">
        <f t="shared" si="25"/>
        <v>0</v>
      </c>
      <c r="G112" s="269"/>
      <c r="H112" s="269">
        <f t="shared" si="26"/>
        <v>0</v>
      </c>
      <c r="I112" s="269"/>
      <c r="J112" s="269">
        <f t="shared" si="27"/>
        <v>0</v>
      </c>
      <c r="K112" s="269">
        <f t="shared" si="28"/>
        <v>0</v>
      </c>
    </row>
    <row r="113" spans="1:11" s="263" customFormat="1" ht="15.95" customHeight="1">
      <c r="A113" s="264">
        <v>93</v>
      </c>
      <c r="B113" s="333" t="s">
        <v>589</v>
      </c>
      <c r="C113" s="325">
        <v>2</v>
      </c>
      <c r="D113" s="267" t="s">
        <v>473</v>
      </c>
      <c r="E113" s="269"/>
      <c r="F113" s="269">
        <f t="shared" si="25"/>
        <v>0</v>
      </c>
      <c r="G113" s="269"/>
      <c r="H113" s="269">
        <f t="shared" si="26"/>
        <v>0</v>
      </c>
      <c r="I113" s="269"/>
      <c r="J113" s="269">
        <f t="shared" si="27"/>
        <v>0</v>
      </c>
      <c r="K113" s="269">
        <f t="shared" si="28"/>
        <v>0</v>
      </c>
    </row>
    <row r="114" spans="1:11" s="263" customFormat="1" ht="15.95" customHeight="1">
      <c r="A114" s="264">
        <v>94</v>
      </c>
      <c r="B114" s="333" t="s">
        <v>612</v>
      </c>
      <c r="C114" s="325">
        <v>2</v>
      </c>
      <c r="D114" s="267" t="s">
        <v>473</v>
      </c>
      <c r="E114" s="269"/>
      <c r="F114" s="269">
        <f t="shared" si="25"/>
        <v>0</v>
      </c>
      <c r="G114" s="269"/>
      <c r="H114" s="269">
        <f t="shared" si="26"/>
        <v>0</v>
      </c>
      <c r="I114" s="269"/>
      <c r="J114" s="269">
        <f t="shared" si="27"/>
        <v>0</v>
      </c>
      <c r="K114" s="269">
        <f t="shared" si="28"/>
        <v>0</v>
      </c>
    </row>
    <row r="115" spans="1:11" s="263" customFormat="1" ht="27.75" customHeight="1">
      <c r="A115" s="264">
        <v>95</v>
      </c>
      <c r="B115" s="334" t="s">
        <v>592</v>
      </c>
      <c r="C115" s="325">
        <v>3</v>
      </c>
      <c r="D115" s="326" t="s">
        <v>473</v>
      </c>
      <c r="E115" s="269"/>
      <c r="F115" s="269">
        <f t="shared" si="25"/>
        <v>0</v>
      </c>
      <c r="G115" s="269"/>
      <c r="H115" s="269">
        <f t="shared" si="26"/>
        <v>0</v>
      </c>
      <c r="I115" s="269"/>
      <c r="J115" s="269">
        <f t="shared" si="27"/>
        <v>0</v>
      </c>
      <c r="K115" s="269">
        <f t="shared" si="28"/>
        <v>0</v>
      </c>
    </row>
    <row r="116" spans="1:11" s="263" customFormat="1" ht="15.95" customHeight="1">
      <c r="A116" s="264">
        <v>96</v>
      </c>
      <c r="B116" s="324" t="s">
        <v>575</v>
      </c>
      <c r="C116" s="325">
        <v>1</v>
      </c>
      <c r="D116" s="326" t="s">
        <v>473</v>
      </c>
      <c r="E116" s="269"/>
      <c r="F116" s="269">
        <f t="shared" si="25"/>
        <v>0</v>
      </c>
      <c r="G116" s="269"/>
      <c r="H116" s="269">
        <f t="shared" si="26"/>
        <v>0</v>
      </c>
      <c r="I116" s="269"/>
      <c r="J116" s="269">
        <f t="shared" si="27"/>
        <v>0</v>
      </c>
      <c r="K116" s="269">
        <f t="shared" si="28"/>
        <v>0</v>
      </c>
    </row>
    <row r="117" spans="1:11" s="263" customFormat="1" ht="15.95" customHeight="1">
      <c r="A117" s="264">
        <v>97</v>
      </c>
      <c r="B117" s="324" t="s">
        <v>595</v>
      </c>
      <c r="C117" s="325">
        <v>3</v>
      </c>
      <c r="D117" s="326" t="s">
        <v>473</v>
      </c>
      <c r="E117" s="269"/>
      <c r="F117" s="269">
        <f t="shared" si="25"/>
        <v>0</v>
      </c>
      <c r="G117" s="269"/>
      <c r="H117" s="269">
        <f t="shared" si="26"/>
        <v>0</v>
      </c>
      <c r="I117" s="269"/>
      <c r="J117" s="269">
        <f t="shared" si="27"/>
        <v>0</v>
      </c>
      <c r="K117" s="269">
        <f t="shared" si="28"/>
        <v>0</v>
      </c>
    </row>
    <row r="118" spans="1:11" s="263" customFormat="1" ht="15.95" customHeight="1">
      <c r="A118" s="264">
        <v>98</v>
      </c>
      <c r="B118" s="324" t="s">
        <v>599</v>
      </c>
      <c r="C118" s="325">
        <v>2</v>
      </c>
      <c r="D118" s="326" t="s">
        <v>473</v>
      </c>
      <c r="E118" s="269"/>
      <c r="F118" s="269">
        <f t="shared" si="25"/>
        <v>0</v>
      </c>
      <c r="G118" s="269"/>
      <c r="H118" s="269">
        <f t="shared" si="26"/>
        <v>0</v>
      </c>
      <c r="I118" s="269"/>
      <c r="J118" s="269">
        <f t="shared" si="27"/>
        <v>0</v>
      </c>
      <c r="K118" s="269">
        <f t="shared" si="28"/>
        <v>0</v>
      </c>
    </row>
    <row r="119" spans="1:11" s="263" customFormat="1" ht="15.95" customHeight="1">
      <c r="A119" s="264">
        <v>99</v>
      </c>
      <c r="B119" s="324" t="s">
        <v>613</v>
      </c>
      <c r="C119" s="325">
        <v>1</v>
      </c>
      <c r="D119" s="326" t="s">
        <v>473</v>
      </c>
      <c r="E119" s="269"/>
      <c r="F119" s="269">
        <f t="shared" si="25"/>
        <v>0</v>
      </c>
      <c r="G119" s="269"/>
      <c r="H119" s="269">
        <f t="shared" si="26"/>
        <v>0</v>
      </c>
      <c r="I119" s="269"/>
      <c r="J119" s="269">
        <f t="shared" si="27"/>
        <v>0</v>
      </c>
      <c r="K119" s="269">
        <f t="shared" si="28"/>
        <v>0</v>
      </c>
    </row>
    <row r="120" spans="1:11" ht="15.95" customHeight="1">
      <c r="A120" s="264">
        <v>99</v>
      </c>
      <c r="B120" s="281" t="s">
        <v>585</v>
      </c>
      <c r="C120" s="315">
        <v>1</v>
      </c>
      <c r="D120" s="331" t="s">
        <v>483</v>
      </c>
      <c r="E120" s="269"/>
      <c r="F120" s="269">
        <f t="shared" si="25"/>
        <v>0</v>
      </c>
      <c r="G120" s="269"/>
      <c r="H120" s="269">
        <f t="shared" si="26"/>
        <v>0</v>
      </c>
      <c r="I120" s="269"/>
      <c r="J120" s="269">
        <f t="shared" si="27"/>
        <v>0</v>
      </c>
      <c r="K120" s="269">
        <f t="shared" si="28"/>
        <v>0</v>
      </c>
    </row>
    <row r="121" spans="1:11" ht="22.5" customHeight="1">
      <c r="A121" s="271" t="s">
        <v>614</v>
      </c>
      <c r="B121" s="272"/>
      <c r="C121" s="273"/>
      <c r="D121" s="272"/>
      <c r="E121" s="262"/>
      <c r="F121" s="262"/>
      <c r="G121" s="262"/>
      <c r="H121" s="262"/>
      <c r="I121" s="262"/>
      <c r="J121" s="262"/>
      <c r="K121" s="262"/>
    </row>
    <row r="122" spans="1:11" s="263" customFormat="1" ht="15.95" customHeight="1">
      <c r="A122" s="264">
        <v>100</v>
      </c>
      <c r="B122" s="336" t="s">
        <v>615</v>
      </c>
      <c r="C122" s="325">
        <v>1</v>
      </c>
      <c r="D122" s="326" t="s">
        <v>470</v>
      </c>
      <c r="E122" s="269"/>
      <c r="F122" s="269">
        <f t="shared" ref="F122:F141" si="29">E122*C122</f>
        <v>0</v>
      </c>
      <c r="G122" s="269"/>
      <c r="H122" s="269">
        <f t="shared" ref="H122:H141" si="30">G122*C122</f>
        <v>0</v>
      </c>
      <c r="I122" s="269"/>
      <c r="J122" s="269">
        <f t="shared" ref="J122:J141" si="31">I122*C122</f>
        <v>0</v>
      </c>
      <c r="K122" s="269">
        <f t="shared" ref="K122:K141" si="32">J122+H122+F122</f>
        <v>0</v>
      </c>
    </row>
    <row r="123" spans="1:11" s="263" customFormat="1" ht="15.95" customHeight="1">
      <c r="A123" s="264">
        <v>101</v>
      </c>
      <c r="B123" s="329" t="s">
        <v>588</v>
      </c>
      <c r="C123" s="325">
        <v>2</v>
      </c>
      <c r="D123" s="326" t="s">
        <v>473</v>
      </c>
      <c r="E123" s="269"/>
      <c r="F123" s="269">
        <f t="shared" si="29"/>
        <v>0</v>
      </c>
      <c r="G123" s="269"/>
      <c r="H123" s="269">
        <f t="shared" si="30"/>
        <v>0</v>
      </c>
      <c r="I123" s="269"/>
      <c r="J123" s="269">
        <f t="shared" si="31"/>
        <v>0</v>
      </c>
      <c r="K123" s="269">
        <f t="shared" si="32"/>
        <v>0</v>
      </c>
    </row>
    <row r="124" spans="1:11" s="263" customFormat="1" ht="15.95" customHeight="1">
      <c r="A124" s="264">
        <v>102</v>
      </c>
      <c r="B124" s="329" t="s">
        <v>579</v>
      </c>
      <c r="C124" s="325">
        <v>10</v>
      </c>
      <c r="D124" s="326" t="s">
        <v>473</v>
      </c>
      <c r="E124" s="269"/>
      <c r="F124" s="269">
        <f t="shared" si="29"/>
        <v>0</v>
      </c>
      <c r="G124" s="269"/>
      <c r="H124" s="269">
        <f t="shared" si="30"/>
        <v>0</v>
      </c>
      <c r="I124" s="269"/>
      <c r="J124" s="269">
        <f t="shared" si="31"/>
        <v>0</v>
      </c>
      <c r="K124" s="269">
        <f t="shared" si="32"/>
        <v>0</v>
      </c>
    </row>
    <row r="125" spans="1:11" s="263" customFormat="1" ht="15.95" customHeight="1">
      <c r="A125" s="264">
        <v>103</v>
      </c>
      <c r="B125" s="329" t="s">
        <v>578</v>
      </c>
      <c r="C125" s="325">
        <v>10</v>
      </c>
      <c r="D125" s="326" t="s">
        <v>473</v>
      </c>
      <c r="E125" s="269"/>
      <c r="F125" s="269">
        <f t="shared" si="29"/>
        <v>0</v>
      </c>
      <c r="G125" s="269"/>
      <c r="H125" s="269">
        <f t="shared" si="30"/>
        <v>0</v>
      </c>
      <c r="I125" s="269"/>
      <c r="J125" s="269">
        <f t="shared" si="31"/>
        <v>0</v>
      </c>
      <c r="K125" s="269">
        <f t="shared" si="32"/>
        <v>0</v>
      </c>
    </row>
    <row r="126" spans="1:11" s="263" customFormat="1" ht="15.95" customHeight="1">
      <c r="A126" s="264">
        <v>104</v>
      </c>
      <c r="B126" s="333" t="s">
        <v>589</v>
      </c>
      <c r="C126" s="325">
        <v>8</v>
      </c>
      <c r="D126" s="267" t="s">
        <v>473</v>
      </c>
      <c r="E126" s="269"/>
      <c r="F126" s="269">
        <f t="shared" si="29"/>
        <v>0</v>
      </c>
      <c r="G126" s="269"/>
      <c r="H126" s="269">
        <f t="shared" si="30"/>
        <v>0</v>
      </c>
      <c r="I126" s="269"/>
      <c r="J126" s="269">
        <f t="shared" si="31"/>
        <v>0</v>
      </c>
      <c r="K126" s="269">
        <f t="shared" si="32"/>
        <v>0</v>
      </c>
    </row>
    <row r="127" spans="1:11" s="263" customFormat="1" ht="15.95" customHeight="1">
      <c r="A127" s="264">
        <v>105</v>
      </c>
      <c r="B127" s="328" t="s">
        <v>577</v>
      </c>
      <c r="C127" s="325">
        <v>2</v>
      </c>
      <c r="D127" s="267" t="s">
        <v>473</v>
      </c>
      <c r="E127" s="269"/>
      <c r="F127" s="269">
        <f t="shared" si="29"/>
        <v>0</v>
      </c>
      <c r="G127" s="269"/>
      <c r="H127" s="269">
        <f t="shared" si="30"/>
        <v>0</v>
      </c>
      <c r="I127" s="269"/>
      <c r="J127" s="269">
        <f t="shared" si="31"/>
        <v>0</v>
      </c>
      <c r="K127" s="269">
        <f t="shared" si="32"/>
        <v>0</v>
      </c>
    </row>
    <row r="128" spans="1:11" s="263" customFormat="1" ht="17.25" customHeight="1">
      <c r="A128" s="264">
        <v>106</v>
      </c>
      <c r="B128" s="333" t="s">
        <v>616</v>
      </c>
      <c r="C128" s="325">
        <v>1</v>
      </c>
      <c r="D128" s="267" t="s">
        <v>473</v>
      </c>
      <c r="E128" s="269"/>
      <c r="F128" s="269">
        <f t="shared" si="29"/>
        <v>0</v>
      </c>
      <c r="G128" s="269"/>
      <c r="H128" s="269">
        <f t="shared" si="30"/>
        <v>0</v>
      </c>
      <c r="I128" s="269"/>
      <c r="J128" s="269">
        <f t="shared" si="31"/>
        <v>0</v>
      </c>
      <c r="K128" s="269">
        <f t="shared" si="32"/>
        <v>0</v>
      </c>
    </row>
    <row r="129" spans="1:11" s="263" customFormat="1" ht="17.25" customHeight="1">
      <c r="A129" s="264">
        <v>107</v>
      </c>
      <c r="B129" s="333" t="s">
        <v>590</v>
      </c>
      <c r="C129" s="325">
        <v>1</v>
      </c>
      <c r="D129" s="267" t="s">
        <v>473</v>
      </c>
      <c r="E129" s="269"/>
      <c r="F129" s="269">
        <f t="shared" si="29"/>
        <v>0</v>
      </c>
      <c r="G129" s="269"/>
      <c r="H129" s="269">
        <f t="shared" si="30"/>
        <v>0</v>
      </c>
      <c r="I129" s="269"/>
      <c r="J129" s="269">
        <f t="shared" si="31"/>
        <v>0</v>
      </c>
      <c r="K129" s="269">
        <f t="shared" si="32"/>
        <v>0</v>
      </c>
    </row>
    <row r="130" spans="1:11" s="263" customFormat="1" ht="31.5" customHeight="1">
      <c r="A130" s="264">
        <v>108</v>
      </c>
      <c r="B130" s="334" t="s">
        <v>592</v>
      </c>
      <c r="C130" s="325">
        <v>4</v>
      </c>
      <c r="D130" s="326" t="s">
        <v>473</v>
      </c>
      <c r="E130" s="269"/>
      <c r="F130" s="269">
        <f t="shared" si="29"/>
        <v>0</v>
      </c>
      <c r="G130" s="269"/>
      <c r="H130" s="269">
        <f t="shared" si="30"/>
        <v>0</v>
      </c>
      <c r="I130" s="269"/>
      <c r="J130" s="269">
        <f t="shared" si="31"/>
        <v>0</v>
      </c>
      <c r="K130" s="269">
        <f t="shared" si="32"/>
        <v>0</v>
      </c>
    </row>
    <row r="131" spans="1:11" s="263" customFormat="1" ht="31.5" customHeight="1">
      <c r="A131" s="264">
        <v>109</v>
      </c>
      <c r="B131" s="334" t="s">
        <v>593</v>
      </c>
      <c r="C131" s="325">
        <v>3</v>
      </c>
      <c r="D131" s="326" t="s">
        <v>473</v>
      </c>
      <c r="E131" s="269"/>
      <c r="F131" s="269">
        <f t="shared" si="29"/>
        <v>0</v>
      </c>
      <c r="G131" s="269"/>
      <c r="H131" s="269">
        <f t="shared" si="30"/>
        <v>0</v>
      </c>
      <c r="I131" s="269"/>
      <c r="J131" s="269">
        <f t="shared" si="31"/>
        <v>0</v>
      </c>
      <c r="K131" s="269">
        <f t="shared" si="32"/>
        <v>0</v>
      </c>
    </row>
    <row r="132" spans="1:11" s="263" customFormat="1" ht="31.5" customHeight="1">
      <c r="A132" s="264">
        <v>110</v>
      </c>
      <c r="B132" s="334" t="s">
        <v>617</v>
      </c>
      <c r="C132" s="325">
        <v>1</v>
      </c>
      <c r="D132" s="326" t="s">
        <v>473</v>
      </c>
      <c r="E132" s="269"/>
      <c r="F132" s="269">
        <f t="shared" si="29"/>
        <v>0</v>
      </c>
      <c r="G132" s="269"/>
      <c r="H132" s="269">
        <f t="shared" si="30"/>
        <v>0</v>
      </c>
      <c r="I132" s="269"/>
      <c r="J132" s="269">
        <f t="shared" si="31"/>
        <v>0</v>
      </c>
      <c r="K132" s="269">
        <f t="shared" si="32"/>
        <v>0</v>
      </c>
    </row>
    <row r="133" spans="1:11" s="263" customFormat="1" ht="31.5" customHeight="1">
      <c r="A133" s="264">
        <v>111</v>
      </c>
      <c r="B133" s="334" t="s">
        <v>618</v>
      </c>
      <c r="C133" s="325">
        <v>1</v>
      </c>
      <c r="D133" s="326" t="s">
        <v>473</v>
      </c>
      <c r="E133" s="269"/>
      <c r="F133" s="269">
        <f t="shared" si="29"/>
        <v>0</v>
      </c>
      <c r="G133" s="269"/>
      <c r="H133" s="269">
        <f t="shared" si="30"/>
        <v>0</v>
      </c>
      <c r="I133" s="269"/>
      <c r="J133" s="269">
        <f t="shared" si="31"/>
        <v>0</v>
      </c>
      <c r="K133" s="269">
        <f t="shared" si="32"/>
        <v>0</v>
      </c>
    </row>
    <row r="134" spans="1:11" s="263" customFormat="1" ht="15.95" customHeight="1">
      <c r="A134" s="264">
        <v>112</v>
      </c>
      <c r="B134" s="324" t="s">
        <v>575</v>
      </c>
      <c r="C134" s="325">
        <v>2</v>
      </c>
      <c r="D134" s="326" t="s">
        <v>473</v>
      </c>
      <c r="E134" s="269"/>
      <c r="F134" s="269">
        <f t="shared" si="29"/>
        <v>0</v>
      </c>
      <c r="G134" s="269"/>
      <c r="H134" s="269">
        <f t="shared" si="30"/>
        <v>0</v>
      </c>
      <c r="I134" s="269"/>
      <c r="J134" s="269">
        <f t="shared" si="31"/>
        <v>0</v>
      </c>
      <c r="K134" s="269">
        <f t="shared" si="32"/>
        <v>0</v>
      </c>
    </row>
    <row r="135" spans="1:11" s="263" customFormat="1" ht="15.95" customHeight="1">
      <c r="A135" s="264">
        <v>113</v>
      </c>
      <c r="B135" s="324" t="s">
        <v>594</v>
      </c>
      <c r="C135" s="325">
        <v>2</v>
      </c>
      <c r="D135" s="326" t="s">
        <v>473</v>
      </c>
      <c r="E135" s="269"/>
      <c r="F135" s="269">
        <f t="shared" si="29"/>
        <v>0</v>
      </c>
      <c r="G135" s="269"/>
      <c r="H135" s="269">
        <f t="shared" si="30"/>
        <v>0</v>
      </c>
      <c r="I135" s="269"/>
      <c r="J135" s="269">
        <f t="shared" si="31"/>
        <v>0</v>
      </c>
      <c r="K135" s="269">
        <f t="shared" si="32"/>
        <v>0</v>
      </c>
    </row>
    <row r="136" spans="1:11" s="263" customFormat="1" ht="15.95" customHeight="1">
      <c r="A136" s="264">
        <v>114</v>
      </c>
      <c r="B136" s="324" t="s">
        <v>595</v>
      </c>
      <c r="C136" s="325">
        <v>10</v>
      </c>
      <c r="D136" s="326" t="s">
        <v>473</v>
      </c>
      <c r="E136" s="269"/>
      <c r="F136" s="269">
        <f t="shared" si="29"/>
        <v>0</v>
      </c>
      <c r="G136" s="269"/>
      <c r="H136" s="269">
        <f t="shared" si="30"/>
        <v>0</v>
      </c>
      <c r="I136" s="269"/>
      <c r="J136" s="269">
        <f t="shared" si="31"/>
        <v>0</v>
      </c>
      <c r="K136" s="269">
        <f t="shared" si="32"/>
        <v>0</v>
      </c>
    </row>
    <row r="137" spans="1:11" s="263" customFormat="1" ht="15.95" customHeight="1">
      <c r="A137" s="264">
        <v>115</v>
      </c>
      <c r="B137" s="324" t="s">
        <v>596</v>
      </c>
      <c r="C137" s="325">
        <v>2</v>
      </c>
      <c r="D137" s="326" t="s">
        <v>473</v>
      </c>
      <c r="E137" s="269"/>
      <c r="F137" s="269">
        <f t="shared" si="29"/>
        <v>0</v>
      </c>
      <c r="G137" s="269"/>
      <c r="H137" s="269">
        <f t="shared" si="30"/>
        <v>0</v>
      </c>
      <c r="I137" s="269"/>
      <c r="J137" s="269">
        <f t="shared" si="31"/>
        <v>0</v>
      </c>
      <c r="K137" s="269">
        <f t="shared" si="32"/>
        <v>0</v>
      </c>
    </row>
    <row r="138" spans="1:11" s="263" customFormat="1" ht="15.95" customHeight="1">
      <c r="A138" s="264">
        <v>116</v>
      </c>
      <c r="B138" s="324" t="s">
        <v>599</v>
      </c>
      <c r="C138" s="325">
        <v>4</v>
      </c>
      <c r="D138" s="326" t="s">
        <v>473</v>
      </c>
      <c r="E138" s="269"/>
      <c r="F138" s="269">
        <f t="shared" si="29"/>
        <v>0</v>
      </c>
      <c r="G138" s="269"/>
      <c r="H138" s="269">
        <f t="shared" si="30"/>
        <v>0</v>
      </c>
      <c r="I138" s="269"/>
      <c r="J138" s="269">
        <f t="shared" si="31"/>
        <v>0</v>
      </c>
      <c r="K138" s="269">
        <f t="shared" si="32"/>
        <v>0</v>
      </c>
    </row>
    <row r="139" spans="1:11" s="263" customFormat="1" ht="15.95" customHeight="1">
      <c r="A139" s="264">
        <v>117</v>
      </c>
      <c r="B139" s="324" t="s">
        <v>601</v>
      </c>
      <c r="C139" s="325">
        <v>4</v>
      </c>
      <c r="D139" s="326" t="s">
        <v>473</v>
      </c>
      <c r="E139" s="269"/>
      <c r="F139" s="269">
        <f t="shared" si="29"/>
        <v>0</v>
      </c>
      <c r="G139" s="269"/>
      <c r="H139" s="269">
        <f t="shared" si="30"/>
        <v>0</v>
      </c>
      <c r="I139" s="269"/>
      <c r="J139" s="269">
        <f t="shared" si="31"/>
        <v>0</v>
      </c>
      <c r="K139" s="269">
        <f t="shared" si="32"/>
        <v>0</v>
      </c>
    </row>
    <row r="140" spans="1:11" s="263" customFormat="1" ht="15.95" customHeight="1">
      <c r="A140" s="264">
        <v>118</v>
      </c>
      <c r="B140" s="324" t="s">
        <v>619</v>
      </c>
      <c r="C140" s="325">
        <v>1</v>
      </c>
      <c r="D140" s="326" t="s">
        <v>473</v>
      </c>
      <c r="E140" s="269"/>
      <c r="F140" s="269">
        <f t="shared" si="29"/>
        <v>0</v>
      </c>
      <c r="G140" s="269"/>
      <c r="H140" s="269">
        <f t="shared" si="30"/>
        <v>0</v>
      </c>
      <c r="I140" s="269"/>
      <c r="J140" s="269">
        <f t="shared" si="31"/>
        <v>0</v>
      </c>
      <c r="K140" s="269">
        <f t="shared" si="32"/>
        <v>0</v>
      </c>
    </row>
    <row r="141" spans="1:11" ht="15.95" customHeight="1">
      <c r="A141" s="264">
        <v>118</v>
      </c>
      <c r="B141" s="281" t="s">
        <v>585</v>
      </c>
      <c r="C141" s="315">
        <v>1</v>
      </c>
      <c r="D141" s="331" t="s">
        <v>483</v>
      </c>
      <c r="E141" s="269"/>
      <c r="F141" s="269">
        <f t="shared" si="29"/>
        <v>0</v>
      </c>
      <c r="G141" s="269"/>
      <c r="H141" s="269">
        <f t="shared" si="30"/>
        <v>0</v>
      </c>
      <c r="I141" s="269"/>
      <c r="J141" s="269">
        <f t="shared" si="31"/>
        <v>0</v>
      </c>
      <c r="K141" s="269">
        <f t="shared" si="32"/>
        <v>0</v>
      </c>
    </row>
    <row r="142" spans="1:11" s="263" customFormat="1" ht="24.75" customHeight="1">
      <c r="A142" s="271" t="s">
        <v>620</v>
      </c>
      <c r="B142" s="272"/>
      <c r="C142" s="273"/>
      <c r="D142" s="272"/>
      <c r="E142" s="262"/>
      <c r="F142" s="262"/>
      <c r="G142" s="262"/>
      <c r="H142" s="262"/>
      <c r="I142" s="262"/>
      <c r="J142" s="262"/>
      <c r="K142" s="262"/>
    </row>
    <row r="143" spans="1:11" s="263" customFormat="1" ht="15.95" customHeight="1">
      <c r="A143" s="264">
        <v>119</v>
      </c>
      <c r="B143" s="335" t="s">
        <v>621</v>
      </c>
      <c r="C143" s="325">
        <v>1</v>
      </c>
      <c r="D143" s="326" t="s">
        <v>470</v>
      </c>
      <c r="E143" s="269"/>
      <c r="F143" s="269">
        <f t="shared" ref="F143:F159" si="33">E143*C143</f>
        <v>0</v>
      </c>
      <c r="G143" s="269"/>
      <c r="H143" s="269">
        <f t="shared" ref="H143:H159" si="34">G143*C143</f>
        <v>0</v>
      </c>
      <c r="I143" s="269"/>
      <c r="J143" s="269">
        <f t="shared" ref="J143:J159" si="35">I143*C143</f>
        <v>0</v>
      </c>
      <c r="K143" s="269">
        <f t="shared" ref="K143:K159" si="36">J143+H143+F143</f>
        <v>0</v>
      </c>
    </row>
    <row r="144" spans="1:11" s="263" customFormat="1" ht="15.95" customHeight="1">
      <c r="A144" s="264">
        <v>120</v>
      </c>
      <c r="B144" s="334" t="s">
        <v>605</v>
      </c>
      <c r="C144" s="325">
        <v>3</v>
      </c>
      <c r="D144" s="326" t="s">
        <v>467</v>
      </c>
      <c r="E144" s="269"/>
      <c r="F144" s="269">
        <f t="shared" si="33"/>
        <v>0</v>
      </c>
      <c r="G144" s="269"/>
      <c r="H144" s="269">
        <f t="shared" si="34"/>
        <v>0</v>
      </c>
      <c r="I144" s="269"/>
      <c r="J144" s="269">
        <f t="shared" si="35"/>
        <v>0</v>
      </c>
      <c r="K144" s="269">
        <f t="shared" si="36"/>
        <v>0</v>
      </c>
    </row>
    <row r="145" spans="1:11" s="263" customFormat="1" ht="15.95" customHeight="1">
      <c r="A145" s="264">
        <v>121</v>
      </c>
      <c r="B145" s="334" t="s">
        <v>606</v>
      </c>
      <c r="C145" s="325">
        <v>27</v>
      </c>
      <c r="D145" s="326" t="s">
        <v>607</v>
      </c>
      <c r="E145" s="269"/>
      <c r="F145" s="269">
        <f t="shared" si="33"/>
        <v>0</v>
      </c>
      <c r="G145" s="269"/>
      <c r="H145" s="269">
        <f t="shared" si="34"/>
        <v>0</v>
      </c>
      <c r="I145" s="269"/>
      <c r="J145" s="269">
        <f t="shared" si="35"/>
        <v>0</v>
      </c>
      <c r="K145" s="269">
        <f t="shared" si="36"/>
        <v>0</v>
      </c>
    </row>
    <row r="146" spans="1:11" ht="15.95" customHeight="1">
      <c r="A146" s="264">
        <v>122</v>
      </c>
      <c r="B146" s="337" t="s">
        <v>622</v>
      </c>
      <c r="C146" s="315">
        <v>6</v>
      </c>
      <c r="D146" s="316" t="s">
        <v>473</v>
      </c>
      <c r="E146" s="269"/>
      <c r="F146" s="269">
        <f t="shared" si="33"/>
        <v>0</v>
      </c>
      <c r="G146" s="269"/>
      <c r="H146" s="269">
        <f t="shared" si="34"/>
        <v>0</v>
      </c>
      <c r="I146" s="269"/>
      <c r="J146" s="269">
        <f t="shared" si="35"/>
        <v>0</v>
      </c>
      <c r="K146" s="269">
        <f t="shared" si="36"/>
        <v>0</v>
      </c>
    </row>
    <row r="147" spans="1:11" ht="15.95" customHeight="1">
      <c r="A147" s="264">
        <v>123</v>
      </c>
      <c r="B147" s="337" t="s">
        <v>623</v>
      </c>
      <c r="C147" s="315">
        <v>6</v>
      </c>
      <c r="D147" s="316" t="s">
        <v>473</v>
      </c>
      <c r="E147" s="269"/>
      <c r="F147" s="269">
        <f t="shared" si="33"/>
        <v>0</v>
      </c>
      <c r="G147" s="269"/>
      <c r="H147" s="269">
        <f t="shared" si="34"/>
        <v>0</v>
      </c>
      <c r="I147" s="269"/>
      <c r="J147" s="269">
        <f t="shared" si="35"/>
        <v>0</v>
      </c>
      <c r="K147" s="269">
        <f t="shared" si="36"/>
        <v>0</v>
      </c>
    </row>
    <row r="148" spans="1:11" ht="15.95" customHeight="1">
      <c r="A148" s="264">
        <v>124</v>
      </c>
      <c r="B148" s="338" t="s">
        <v>624</v>
      </c>
      <c r="C148" s="315">
        <v>6</v>
      </c>
      <c r="D148" s="339" t="s">
        <v>473</v>
      </c>
      <c r="E148" s="269"/>
      <c r="F148" s="269">
        <f t="shared" si="33"/>
        <v>0</v>
      </c>
      <c r="G148" s="269"/>
      <c r="H148" s="269">
        <f t="shared" si="34"/>
        <v>0</v>
      </c>
      <c r="I148" s="269"/>
      <c r="J148" s="269">
        <f t="shared" si="35"/>
        <v>0</v>
      </c>
      <c r="K148" s="269">
        <f t="shared" si="36"/>
        <v>0</v>
      </c>
    </row>
    <row r="149" spans="1:11" ht="27" customHeight="1">
      <c r="A149" s="264">
        <v>125</v>
      </c>
      <c r="B149" s="340" t="s">
        <v>625</v>
      </c>
      <c r="C149" s="315">
        <v>1</v>
      </c>
      <c r="D149" s="316" t="s">
        <v>473</v>
      </c>
      <c r="E149" s="269"/>
      <c r="F149" s="269">
        <f t="shared" si="33"/>
        <v>0</v>
      </c>
      <c r="G149" s="269"/>
      <c r="H149" s="269">
        <f t="shared" si="34"/>
        <v>0</v>
      </c>
      <c r="I149" s="269"/>
      <c r="J149" s="269">
        <f t="shared" si="35"/>
        <v>0</v>
      </c>
      <c r="K149" s="269">
        <f t="shared" si="36"/>
        <v>0</v>
      </c>
    </row>
    <row r="150" spans="1:11" ht="27" customHeight="1">
      <c r="A150" s="264">
        <v>126</v>
      </c>
      <c r="B150" s="340" t="s">
        <v>626</v>
      </c>
      <c r="C150" s="315">
        <v>1</v>
      </c>
      <c r="D150" s="316" t="s">
        <v>473</v>
      </c>
      <c r="E150" s="269"/>
      <c r="F150" s="269">
        <f t="shared" si="33"/>
        <v>0</v>
      </c>
      <c r="G150" s="269"/>
      <c r="H150" s="269">
        <f t="shared" si="34"/>
        <v>0</v>
      </c>
      <c r="I150" s="269"/>
      <c r="J150" s="269">
        <f t="shared" si="35"/>
        <v>0</v>
      </c>
      <c r="K150" s="269">
        <f t="shared" si="36"/>
        <v>0</v>
      </c>
    </row>
    <row r="151" spans="1:11" ht="27" customHeight="1">
      <c r="A151" s="264">
        <v>127</v>
      </c>
      <c r="B151" s="340" t="s">
        <v>627</v>
      </c>
      <c r="C151" s="315">
        <v>1</v>
      </c>
      <c r="D151" s="316" t="s">
        <v>473</v>
      </c>
      <c r="E151" s="269"/>
      <c r="F151" s="269">
        <f t="shared" si="33"/>
        <v>0</v>
      </c>
      <c r="G151" s="269"/>
      <c r="H151" s="269">
        <f t="shared" si="34"/>
        <v>0</v>
      </c>
      <c r="I151" s="269"/>
      <c r="J151" s="269">
        <f t="shared" si="35"/>
        <v>0</v>
      </c>
      <c r="K151" s="269">
        <f t="shared" si="36"/>
        <v>0</v>
      </c>
    </row>
    <row r="152" spans="1:11" ht="15.95" customHeight="1">
      <c r="A152" s="264">
        <v>128</v>
      </c>
      <c r="B152" s="317" t="s">
        <v>628</v>
      </c>
      <c r="C152" s="315">
        <v>1</v>
      </c>
      <c r="D152" s="316" t="s">
        <v>473</v>
      </c>
      <c r="E152" s="269"/>
      <c r="F152" s="269">
        <f t="shared" si="33"/>
        <v>0</v>
      </c>
      <c r="G152" s="269"/>
      <c r="H152" s="269">
        <f t="shared" si="34"/>
        <v>0</v>
      </c>
      <c r="I152" s="269"/>
      <c r="J152" s="269">
        <f t="shared" si="35"/>
        <v>0</v>
      </c>
      <c r="K152" s="269">
        <f t="shared" si="36"/>
        <v>0</v>
      </c>
    </row>
    <row r="153" spans="1:11" ht="15.95" customHeight="1">
      <c r="A153" s="264">
        <v>129</v>
      </c>
      <c r="B153" s="317" t="s">
        <v>629</v>
      </c>
      <c r="C153" s="315">
        <v>4</v>
      </c>
      <c r="D153" s="316" t="s">
        <v>473</v>
      </c>
      <c r="E153" s="269"/>
      <c r="F153" s="269">
        <f t="shared" si="33"/>
        <v>0</v>
      </c>
      <c r="G153" s="269"/>
      <c r="H153" s="269">
        <f t="shared" si="34"/>
        <v>0</v>
      </c>
      <c r="I153" s="269"/>
      <c r="J153" s="269">
        <f t="shared" si="35"/>
        <v>0</v>
      </c>
      <c r="K153" s="269">
        <f t="shared" si="36"/>
        <v>0</v>
      </c>
    </row>
    <row r="154" spans="1:11" ht="15.95" customHeight="1">
      <c r="A154" s="264">
        <v>130</v>
      </c>
      <c r="B154" s="317" t="s">
        <v>630</v>
      </c>
      <c r="C154" s="315">
        <v>4</v>
      </c>
      <c r="D154" s="316" t="s">
        <v>473</v>
      </c>
      <c r="E154" s="269"/>
      <c r="F154" s="269">
        <f t="shared" si="33"/>
        <v>0</v>
      </c>
      <c r="G154" s="269"/>
      <c r="H154" s="269">
        <f t="shared" si="34"/>
        <v>0</v>
      </c>
      <c r="I154" s="269"/>
      <c r="J154" s="269">
        <f t="shared" si="35"/>
        <v>0</v>
      </c>
      <c r="K154" s="269">
        <f t="shared" si="36"/>
        <v>0</v>
      </c>
    </row>
    <row r="155" spans="1:11" ht="15.95" customHeight="1">
      <c r="A155" s="264">
        <v>131</v>
      </c>
      <c r="B155" s="317" t="s">
        <v>631</v>
      </c>
      <c r="C155" s="315">
        <v>4</v>
      </c>
      <c r="D155" s="316" t="s">
        <v>473</v>
      </c>
      <c r="E155" s="269"/>
      <c r="F155" s="269">
        <f t="shared" si="33"/>
        <v>0</v>
      </c>
      <c r="G155" s="269"/>
      <c r="H155" s="269">
        <f t="shared" si="34"/>
        <v>0</v>
      </c>
      <c r="I155" s="269"/>
      <c r="J155" s="269">
        <f t="shared" si="35"/>
        <v>0</v>
      </c>
      <c r="K155" s="269">
        <f t="shared" si="36"/>
        <v>0</v>
      </c>
    </row>
    <row r="156" spans="1:11" ht="15.95" customHeight="1">
      <c r="A156" s="264">
        <v>132</v>
      </c>
      <c r="B156" s="317" t="s">
        <v>632</v>
      </c>
      <c r="C156" s="315">
        <v>6</v>
      </c>
      <c r="D156" s="316" t="s">
        <v>473</v>
      </c>
      <c r="E156" s="269"/>
      <c r="F156" s="269">
        <f t="shared" si="33"/>
        <v>0</v>
      </c>
      <c r="G156" s="269"/>
      <c r="H156" s="269">
        <f t="shared" si="34"/>
        <v>0</v>
      </c>
      <c r="I156" s="269"/>
      <c r="J156" s="269">
        <f t="shared" si="35"/>
        <v>0</v>
      </c>
      <c r="K156" s="269">
        <f t="shared" si="36"/>
        <v>0</v>
      </c>
    </row>
    <row r="157" spans="1:11" ht="15.95" customHeight="1">
      <c r="A157" s="264">
        <v>133</v>
      </c>
      <c r="B157" s="317" t="s">
        <v>633</v>
      </c>
      <c r="C157" s="315">
        <v>1</v>
      </c>
      <c r="D157" s="316" t="s">
        <v>473</v>
      </c>
      <c r="E157" s="269"/>
      <c r="F157" s="269">
        <f t="shared" si="33"/>
        <v>0</v>
      </c>
      <c r="G157" s="269"/>
      <c r="H157" s="269">
        <f t="shared" si="34"/>
        <v>0</v>
      </c>
      <c r="I157" s="269"/>
      <c r="J157" s="269">
        <f t="shared" si="35"/>
        <v>0</v>
      </c>
      <c r="K157" s="269">
        <f t="shared" si="36"/>
        <v>0</v>
      </c>
    </row>
    <row r="158" spans="1:11" ht="15.95" customHeight="1">
      <c r="A158" s="264">
        <v>134</v>
      </c>
      <c r="B158" s="317" t="s">
        <v>634</v>
      </c>
      <c r="C158" s="315">
        <v>1</v>
      </c>
      <c r="D158" s="316" t="s">
        <v>473</v>
      </c>
      <c r="E158" s="269"/>
      <c r="F158" s="269">
        <f t="shared" si="33"/>
        <v>0</v>
      </c>
      <c r="G158" s="269"/>
      <c r="H158" s="269">
        <f t="shared" si="34"/>
        <v>0</v>
      </c>
      <c r="I158" s="269"/>
      <c r="J158" s="269">
        <f t="shared" si="35"/>
        <v>0</v>
      </c>
      <c r="K158" s="269">
        <f t="shared" si="36"/>
        <v>0</v>
      </c>
    </row>
    <row r="159" spans="1:11" ht="15.95" customHeight="1">
      <c r="A159" s="264">
        <v>134</v>
      </c>
      <c r="B159" s="281" t="s">
        <v>585</v>
      </c>
      <c r="C159" s="315">
        <v>1</v>
      </c>
      <c r="D159" s="331" t="s">
        <v>483</v>
      </c>
      <c r="E159" s="269"/>
      <c r="F159" s="269">
        <f t="shared" si="33"/>
        <v>0</v>
      </c>
      <c r="G159" s="269"/>
      <c r="H159" s="269">
        <f t="shared" si="34"/>
        <v>0</v>
      </c>
      <c r="I159" s="269"/>
      <c r="J159" s="269">
        <f t="shared" si="35"/>
        <v>0</v>
      </c>
      <c r="K159" s="269">
        <f t="shared" si="36"/>
        <v>0</v>
      </c>
    </row>
    <row r="160" spans="1:11" ht="22.5" customHeight="1">
      <c r="A160" s="271" t="s">
        <v>635</v>
      </c>
      <c r="B160" s="272"/>
      <c r="C160" s="273"/>
      <c r="D160" s="272"/>
      <c r="E160" s="262"/>
      <c r="F160" s="262"/>
      <c r="G160" s="262"/>
      <c r="H160" s="262"/>
      <c r="I160" s="262"/>
      <c r="J160" s="262"/>
      <c r="K160" s="262"/>
    </row>
    <row r="161" spans="1:11" ht="15.95" customHeight="1">
      <c r="A161" s="314">
        <v>135</v>
      </c>
      <c r="B161" s="341" t="s">
        <v>636</v>
      </c>
      <c r="C161" s="315">
        <v>1</v>
      </c>
      <c r="D161" s="316" t="s">
        <v>470</v>
      </c>
      <c r="E161" s="269"/>
      <c r="F161" s="269">
        <f t="shared" ref="F161:F173" si="37">E161*C161</f>
        <v>0</v>
      </c>
      <c r="G161" s="269"/>
      <c r="H161" s="269">
        <f t="shared" ref="H161:H173" si="38">G161*C161</f>
        <v>0</v>
      </c>
      <c r="I161" s="269"/>
      <c r="J161" s="269">
        <f t="shared" ref="J161:J173" si="39">I161*C161</f>
        <v>0</v>
      </c>
      <c r="K161" s="269">
        <f t="shared" ref="K161:K173" si="40">J161+H161+F161</f>
        <v>0</v>
      </c>
    </row>
    <row r="162" spans="1:11" ht="15.95" customHeight="1">
      <c r="A162" s="314">
        <v>136</v>
      </c>
      <c r="B162" s="340" t="s">
        <v>637</v>
      </c>
      <c r="C162" s="315">
        <v>3</v>
      </c>
      <c r="D162" s="316" t="s">
        <v>467</v>
      </c>
      <c r="E162" s="269"/>
      <c r="F162" s="269">
        <f t="shared" si="37"/>
        <v>0</v>
      </c>
      <c r="G162" s="269"/>
      <c r="H162" s="269">
        <f t="shared" si="38"/>
        <v>0</v>
      </c>
      <c r="I162" s="269"/>
      <c r="J162" s="269">
        <f t="shared" si="39"/>
        <v>0</v>
      </c>
      <c r="K162" s="269">
        <f t="shared" si="40"/>
        <v>0</v>
      </c>
    </row>
    <row r="163" spans="1:11" ht="15.95" customHeight="1">
      <c r="A163" s="314">
        <v>137</v>
      </c>
      <c r="B163" s="340" t="s">
        <v>638</v>
      </c>
      <c r="C163" s="315">
        <v>40</v>
      </c>
      <c r="D163" s="316" t="s">
        <v>607</v>
      </c>
      <c r="E163" s="269"/>
      <c r="F163" s="269">
        <f t="shared" si="37"/>
        <v>0</v>
      </c>
      <c r="G163" s="269"/>
      <c r="H163" s="269">
        <f t="shared" si="38"/>
        <v>0</v>
      </c>
      <c r="I163" s="269"/>
      <c r="J163" s="269">
        <f t="shared" si="39"/>
        <v>0</v>
      </c>
      <c r="K163" s="269">
        <f t="shared" si="40"/>
        <v>0</v>
      </c>
    </row>
    <row r="164" spans="1:11" ht="15.95" customHeight="1">
      <c r="A164" s="314">
        <v>138</v>
      </c>
      <c r="B164" s="337" t="s">
        <v>622</v>
      </c>
      <c r="C164" s="315">
        <v>5</v>
      </c>
      <c r="D164" s="316" t="s">
        <v>473</v>
      </c>
      <c r="E164" s="269"/>
      <c r="F164" s="269">
        <f t="shared" si="37"/>
        <v>0</v>
      </c>
      <c r="G164" s="269"/>
      <c r="H164" s="269">
        <f t="shared" si="38"/>
        <v>0</v>
      </c>
      <c r="I164" s="269"/>
      <c r="J164" s="269">
        <f t="shared" si="39"/>
        <v>0</v>
      </c>
      <c r="K164" s="269">
        <f t="shared" si="40"/>
        <v>0</v>
      </c>
    </row>
    <row r="165" spans="1:11" ht="15.95" customHeight="1">
      <c r="A165" s="314">
        <v>139</v>
      </c>
      <c r="B165" s="337" t="s">
        <v>623</v>
      </c>
      <c r="C165" s="315">
        <v>5</v>
      </c>
      <c r="D165" s="316" t="s">
        <v>473</v>
      </c>
      <c r="E165" s="269"/>
      <c r="F165" s="269">
        <f t="shared" si="37"/>
        <v>0</v>
      </c>
      <c r="G165" s="269"/>
      <c r="H165" s="269">
        <f t="shared" si="38"/>
        <v>0</v>
      </c>
      <c r="I165" s="269"/>
      <c r="J165" s="269">
        <f t="shared" si="39"/>
        <v>0</v>
      </c>
      <c r="K165" s="269">
        <f t="shared" si="40"/>
        <v>0</v>
      </c>
    </row>
    <row r="166" spans="1:11" ht="15.95" customHeight="1">
      <c r="A166" s="314">
        <v>140</v>
      </c>
      <c r="B166" s="338" t="s">
        <v>624</v>
      </c>
      <c r="C166" s="315">
        <v>5</v>
      </c>
      <c r="D166" s="339" t="s">
        <v>473</v>
      </c>
      <c r="E166" s="269"/>
      <c r="F166" s="269">
        <f t="shared" si="37"/>
        <v>0</v>
      </c>
      <c r="G166" s="269"/>
      <c r="H166" s="269">
        <f t="shared" si="38"/>
        <v>0</v>
      </c>
      <c r="I166" s="269"/>
      <c r="J166" s="269">
        <f t="shared" si="39"/>
        <v>0</v>
      </c>
      <c r="K166" s="269">
        <f t="shared" si="40"/>
        <v>0</v>
      </c>
    </row>
    <row r="167" spans="1:11" ht="15.95" customHeight="1">
      <c r="A167" s="314">
        <v>141</v>
      </c>
      <c r="B167" s="317" t="s">
        <v>628</v>
      </c>
      <c r="C167" s="315">
        <v>1</v>
      </c>
      <c r="D167" s="316" t="s">
        <v>473</v>
      </c>
      <c r="E167" s="269"/>
      <c r="F167" s="269">
        <f t="shared" si="37"/>
        <v>0</v>
      </c>
      <c r="G167" s="269"/>
      <c r="H167" s="269">
        <f t="shared" si="38"/>
        <v>0</v>
      </c>
      <c r="I167" s="269"/>
      <c r="J167" s="269">
        <f t="shared" si="39"/>
        <v>0</v>
      </c>
      <c r="K167" s="269">
        <f t="shared" si="40"/>
        <v>0</v>
      </c>
    </row>
    <row r="168" spans="1:11" ht="15.95" customHeight="1">
      <c r="A168" s="314">
        <v>142</v>
      </c>
      <c r="B168" s="317" t="s">
        <v>629</v>
      </c>
      <c r="C168" s="315">
        <v>2</v>
      </c>
      <c r="D168" s="316" t="s">
        <v>473</v>
      </c>
      <c r="E168" s="269"/>
      <c r="F168" s="269">
        <f t="shared" si="37"/>
        <v>0</v>
      </c>
      <c r="G168" s="269"/>
      <c r="H168" s="269">
        <f t="shared" si="38"/>
        <v>0</v>
      </c>
      <c r="I168" s="269"/>
      <c r="J168" s="269">
        <f t="shared" si="39"/>
        <v>0</v>
      </c>
      <c r="K168" s="269">
        <f t="shared" si="40"/>
        <v>0</v>
      </c>
    </row>
    <row r="169" spans="1:11" ht="15.95" customHeight="1">
      <c r="A169" s="314">
        <v>143</v>
      </c>
      <c r="B169" s="317" t="s">
        <v>630</v>
      </c>
      <c r="C169" s="315">
        <v>3</v>
      </c>
      <c r="D169" s="316" t="s">
        <v>473</v>
      </c>
      <c r="E169" s="269"/>
      <c r="F169" s="269">
        <f t="shared" si="37"/>
        <v>0</v>
      </c>
      <c r="G169" s="269"/>
      <c r="H169" s="269">
        <f t="shared" si="38"/>
        <v>0</v>
      </c>
      <c r="I169" s="269"/>
      <c r="J169" s="269">
        <f t="shared" si="39"/>
        <v>0</v>
      </c>
      <c r="K169" s="269">
        <f t="shared" si="40"/>
        <v>0</v>
      </c>
    </row>
    <row r="170" spans="1:11" ht="15.95" customHeight="1">
      <c r="A170" s="314">
        <v>144</v>
      </c>
      <c r="B170" s="317" t="s">
        <v>631</v>
      </c>
      <c r="C170" s="315">
        <v>4</v>
      </c>
      <c r="D170" s="316" t="s">
        <v>473</v>
      </c>
      <c r="E170" s="269"/>
      <c r="F170" s="269">
        <f t="shared" si="37"/>
        <v>0</v>
      </c>
      <c r="G170" s="269"/>
      <c r="H170" s="269">
        <f t="shared" si="38"/>
        <v>0</v>
      </c>
      <c r="I170" s="269"/>
      <c r="J170" s="269">
        <f t="shared" si="39"/>
        <v>0</v>
      </c>
      <c r="K170" s="269">
        <f t="shared" si="40"/>
        <v>0</v>
      </c>
    </row>
    <row r="171" spans="1:11" ht="15.95" customHeight="1">
      <c r="A171" s="314">
        <v>145</v>
      </c>
      <c r="B171" s="317" t="s">
        <v>632</v>
      </c>
      <c r="C171" s="315">
        <v>25</v>
      </c>
      <c r="D171" s="316" t="s">
        <v>473</v>
      </c>
      <c r="E171" s="269"/>
      <c r="F171" s="269">
        <f t="shared" si="37"/>
        <v>0</v>
      </c>
      <c r="G171" s="269"/>
      <c r="H171" s="269">
        <f t="shared" si="38"/>
        <v>0</v>
      </c>
      <c r="I171" s="269"/>
      <c r="J171" s="269">
        <f t="shared" si="39"/>
        <v>0</v>
      </c>
      <c r="K171" s="269">
        <f t="shared" si="40"/>
        <v>0</v>
      </c>
    </row>
    <row r="172" spans="1:11" ht="15.95" customHeight="1">
      <c r="A172" s="314">
        <v>146</v>
      </c>
      <c r="B172" s="317" t="s">
        <v>639</v>
      </c>
      <c r="C172" s="315">
        <v>1</v>
      </c>
      <c r="D172" s="316" t="s">
        <v>473</v>
      </c>
      <c r="E172" s="269"/>
      <c r="F172" s="269">
        <f t="shared" si="37"/>
        <v>0</v>
      </c>
      <c r="G172" s="269"/>
      <c r="H172" s="269">
        <f t="shared" si="38"/>
        <v>0</v>
      </c>
      <c r="I172" s="269"/>
      <c r="J172" s="269">
        <f t="shared" si="39"/>
        <v>0</v>
      </c>
      <c r="K172" s="269">
        <f t="shared" si="40"/>
        <v>0</v>
      </c>
    </row>
    <row r="173" spans="1:11" ht="15.95" customHeight="1">
      <c r="A173" s="314">
        <v>146</v>
      </c>
      <c r="B173" s="281" t="s">
        <v>585</v>
      </c>
      <c r="C173" s="315">
        <v>1</v>
      </c>
      <c r="D173" s="331" t="s">
        <v>483</v>
      </c>
      <c r="E173" s="269"/>
      <c r="F173" s="269">
        <f t="shared" si="37"/>
        <v>0</v>
      </c>
      <c r="G173" s="269"/>
      <c r="H173" s="269">
        <f t="shared" si="38"/>
        <v>0</v>
      </c>
      <c r="I173" s="269"/>
      <c r="J173" s="269">
        <f t="shared" si="39"/>
        <v>0</v>
      </c>
      <c r="K173" s="269">
        <f t="shared" si="40"/>
        <v>0</v>
      </c>
    </row>
    <row r="174" spans="1:11" ht="23.25" customHeight="1">
      <c r="A174" s="271" t="s">
        <v>640</v>
      </c>
      <c r="B174" s="272"/>
      <c r="C174" s="273"/>
      <c r="D174" s="272"/>
      <c r="E174" s="262"/>
      <c r="F174" s="262"/>
      <c r="G174" s="262"/>
      <c r="H174" s="262"/>
      <c r="I174" s="262"/>
      <c r="J174" s="262"/>
      <c r="K174" s="262"/>
    </row>
    <row r="175" spans="1:11" ht="15.95" customHeight="1">
      <c r="A175" s="314">
        <v>147</v>
      </c>
      <c r="B175" s="341" t="s">
        <v>641</v>
      </c>
      <c r="C175" s="315">
        <v>1</v>
      </c>
      <c r="D175" s="316" t="s">
        <v>470</v>
      </c>
      <c r="E175" s="269"/>
      <c r="F175" s="269">
        <f t="shared" ref="F175:F187" si="41">E175*C175</f>
        <v>0</v>
      </c>
      <c r="G175" s="269"/>
      <c r="H175" s="269">
        <f t="shared" ref="H175:H187" si="42">G175*C175</f>
        <v>0</v>
      </c>
      <c r="I175" s="269"/>
      <c r="J175" s="269">
        <f t="shared" ref="J175:J187" si="43">I175*C175</f>
        <v>0</v>
      </c>
      <c r="K175" s="269">
        <f t="shared" ref="K175:K187" si="44">J175+H175+F175</f>
        <v>0</v>
      </c>
    </row>
    <row r="176" spans="1:11" ht="15.95" customHeight="1">
      <c r="A176" s="314">
        <v>148</v>
      </c>
      <c r="B176" s="340" t="s">
        <v>637</v>
      </c>
      <c r="C176" s="315">
        <v>3</v>
      </c>
      <c r="D176" s="316" t="s">
        <v>467</v>
      </c>
      <c r="E176" s="269"/>
      <c r="F176" s="269">
        <f t="shared" si="41"/>
        <v>0</v>
      </c>
      <c r="G176" s="269"/>
      <c r="H176" s="269">
        <f t="shared" si="42"/>
        <v>0</v>
      </c>
      <c r="I176" s="269"/>
      <c r="J176" s="269">
        <f t="shared" si="43"/>
        <v>0</v>
      </c>
      <c r="K176" s="269">
        <f t="shared" si="44"/>
        <v>0</v>
      </c>
    </row>
    <row r="177" spans="1:11" ht="15.95" customHeight="1">
      <c r="A177" s="314">
        <v>149</v>
      </c>
      <c r="B177" s="340" t="s">
        <v>638</v>
      </c>
      <c r="C177" s="315">
        <v>43</v>
      </c>
      <c r="D177" s="316" t="s">
        <v>607</v>
      </c>
      <c r="E177" s="269"/>
      <c r="F177" s="269">
        <f t="shared" si="41"/>
        <v>0</v>
      </c>
      <c r="G177" s="269"/>
      <c r="H177" s="269">
        <f t="shared" si="42"/>
        <v>0</v>
      </c>
      <c r="I177" s="269"/>
      <c r="J177" s="269">
        <f t="shared" si="43"/>
        <v>0</v>
      </c>
      <c r="K177" s="269">
        <f t="shared" si="44"/>
        <v>0</v>
      </c>
    </row>
    <row r="178" spans="1:11" ht="15.95" customHeight="1">
      <c r="A178" s="314">
        <v>150</v>
      </c>
      <c r="B178" s="337" t="s">
        <v>622</v>
      </c>
      <c r="C178" s="315">
        <v>7</v>
      </c>
      <c r="D178" s="316" t="s">
        <v>473</v>
      </c>
      <c r="E178" s="269"/>
      <c r="F178" s="269">
        <f t="shared" si="41"/>
        <v>0</v>
      </c>
      <c r="G178" s="269"/>
      <c r="H178" s="269">
        <f t="shared" si="42"/>
        <v>0</v>
      </c>
      <c r="I178" s="269"/>
      <c r="J178" s="269">
        <f t="shared" si="43"/>
        <v>0</v>
      </c>
      <c r="K178" s="269">
        <f t="shared" si="44"/>
        <v>0</v>
      </c>
    </row>
    <row r="179" spans="1:11" ht="15.95" customHeight="1">
      <c r="A179" s="314">
        <v>151</v>
      </c>
      <c r="B179" s="337" t="s">
        <v>623</v>
      </c>
      <c r="C179" s="315">
        <v>7</v>
      </c>
      <c r="D179" s="316" t="s">
        <v>473</v>
      </c>
      <c r="E179" s="269"/>
      <c r="F179" s="269">
        <f t="shared" si="41"/>
        <v>0</v>
      </c>
      <c r="G179" s="269"/>
      <c r="H179" s="269">
        <f t="shared" si="42"/>
        <v>0</v>
      </c>
      <c r="I179" s="269"/>
      <c r="J179" s="269">
        <f t="shared" si="43"/>
        <v>0</v>
      </c>
      <c r="K179" s="269">
        <f t="shared" si="44"/>
        <v>0</v>
      </c>
    </row>
    <row r="180" spans="1:11" ht="15.95" customHeight="1">
      <c r="A180" s="314">
        <v>152</v>
      </c>
      <c r="B180" s="338" t="s">
        <v>624</v>
      </c>
      <c r="C180" s="315">
        <v>7</v>
      </c>
      <c r="D180" s="339" t="s">
        <v>473</v>
      </c>
      <c r="E180" s="269"/>
      <c r="F180" s="269">
        <f t="shared" si="41"/>
        <v>0</v>
      </c>
      <c r="G180" s="269"/>
      <c r="H180" s="269">
        <f t="shared" si="42"/>
        <v>0</v>
      </c>
      <c r="I180" s="269"/>
      <c r="J180" s="269">
        <f t="shared" si="43"/>
        <v>0</v>
      </c>
      <c r="K180" s="269">
        <f t="shared" si="44"/>
        <v>0</v>
      </c>
    </row>
    <row r="181" spans="1:11" ht="15.95" customHeight="1">
      <c r="A181" s="314">
        <v>153</v>
      </c>
      <c r="B181" s="317" t="s">
        <v>628</v>
      </c>
      <c r="C181" s="315">
        <v>1</v>
      </c>
      <c r="D181" s="316" t="s">
        <v>473</v>
      </c>
      <c r="E181" s="269"/>
      <c r="F181" s="269">
        <f t="shared" si="41"/>
        <v>0</v>
      </c>
      <c r="G181" s="269"/>
      <c r="H181" s="269">
        <f t="shared" si="42"/>
        <v>0</v>
      </c>
      <c r="I181" s="269"/>
      <c r="J181" s="269">
        <f t="shared" si="43"/>
        <v>0</v>
      </c>
      <c r="K181" s="269">
        <f t="shared" si="44"/>
        <v>0</v>
      </c>
    </row>
    <row r="182" spans="1:11" ht="15.95" customHeight="1">
      <c r="A182" s="314">
        <v>154</v>
      </c>
      <c r="B182" s="317" t="s">
        <v>629</v>
      </c>
      <c r="C182" s="315">
        <v>3</v>
      </c>
      <c r="D182" s="316" t="s">
        <v>473</v>
      </c>
      <c r="E182" s="269"/>
      <c r="F182" s="269">
        <f t="shared" si="41"/>
        <v>0</v>
      </c>
      <c r="G182" s="269"/>
      <c r="H182" s="269">
        <f t="shared" si="42"/>
        <v>0</v>
      </c>
      <c r="I182" s="269"/>
      <c r="J182" s="269">
        <f t="shared" si="43"/>
        <v>0</v>
      </c>
      <c r="K182" s="269">
        <f t="shared" si="44"/>
        <v>0</v>
      </c>
    </row>
    <row r="183" spans="1:11" ht="15.95" customHeight="1">
      <c r="A183" s="314">
        <v>155</v>
      </c>
      <c r="B183" s="317" t="s">
        <v>630</v>
      </c>
      <c r="C183" s="315">
        <v>4</v>
      </c>
      <c r="D183" s="316" t="s">
        <v>473</v>
      </c>
      <c r="E183" s="269"/>
      <c r="F183" s="269">
        <f t="shared" si="41"/>
        <v>0</v>
      </c>
      <c r="G183" s="269"/>
      <c r="H183" s="269">
        <f t="shared" si="42"/>
        <v>0</v>
      </c>
      <c r="I183" s="269"/>
      <c r="J183" s="269">
        <f t="shared" si="43"/>
        <v>0</v>
      </c>
      <c r="K183" s="269">
        <f t="shared" si="44"/>
        <v>0</v>
      </c>
    </row>
    <row r="184" spans="1:11" ht="15.95" customHeight="1">
      <c r="A184" s="314">
        <v>156</v>
      </c>
      <c r="B184" s="317" t="s">
        <v>631</v>
      </c>
      <c r="C184" s="315">
        <v>4</v>
      </c>
      <c r="D184" s="316" t="s">
        <v>473</v>
      </c>
      <c r="E184" s="269"/>
      <c r="F184" s="269">
        <f t="shared" si="41"/>
        <v>0</v>
      </c>
      <c r="G184" s="269"/>
      <c r="H184" s="269">
        <f t="shared" si="42"/>
        <v>0</v>
      </c>
      <c r="I184" s="269"/>
      <c r="J184" s="269">
        <f t="shared" si="43"/>
        <v>0</v>
      </c>
      <c r="K184" s="269">
        <f t="shared" si="44"/>
        <v>0</v>
      </c>
    </row>
    <row r="185" spans="1:11" ht="15.95" customHeight="1">
      <c r="A185" s="314">
        <v>157</v>
      </c>
      <c r="B185" s="317" t="s">
        <v>632</v>
      </c>
      <c r="C185" s="315">
        <v>24</v>
      </c>
      <c r="D185" s="316" t="s">
        <v>473</v>
      </c>
      <c r="E185" s="269"/>
      <c r="F185" s="269">
        <f t="shared" si="41"/>
        <v>0</v>
      </c>
      <c r="G185" s="269"/>
      <c r="H185" s="269">
        <f t="shared" si="42"/>
        <v>0</v>
      </c>
      <c r="I185" s="269"/>
      <c r="J185" s="269">
        <f t="shared" si="43"/>
        <v>0</v>
      </c>
      <c r="K185" s="269">
        <f t="shared" si="44"/>
        <v>0</v>
      </c>
    </row>
    <row r="186" spans="1:11" ht="15.95" customHeight="1">
      <c r="A186" s="314">
        <v>158</v>
      </c>
      <c r="B186" s="317" t="s">
        <v>639</v>
      </c>
      <c r="C186" s="315">
        <v>1</v>
      </c>
      <c r="D186" s="316" t="s">
        <v>473</v>
      </c>
      <c r="E186" s="269"/>
      <c r="F186" s="269">
        <f t="shared" si="41"/>
        <v>0</v>
      </c>
      <c r="G186" s="269"/>
      <c r="H186" s="269">
        <f t="shared" si="42"/>
        <v>0</v>
      </c>
      <c r="I186" s="269"/>
      <c r="J186" s="269">
        <f t="shared" si="43"/>
        <v>0</v>
      </c>
      <c r="K186" s="269">
        <f t="shared" si="44"/>
        <v>0</v>
      </c>
    </row>
    <row r="187" spans="1:11" ht="15.95" customHeight="1">
      <c r="A187" s="314">
        <v>158</v>
      </c>
      <c r="B187" s="281" t="s">
        <v>585</v>
      </c>
      <c r="C187" s="315">
        <v>1</v>
      </c>
      <c r="D187" s="331" t="s">
        <v>483</v>
      </c>
      <c r="E187" s="269"/>
      <c r="F187" s="269">
        <f t="shared" si="41"/>
        <v>0</v>
      </c>
      <c r="G187" s="269"/>
      <c r="H187" s="269">
        <f t="shared" si="42"/>
        <v>0</v>
      </c>
      <c r="I187" s="269"/>
      <c r="J187" s="269">
        <f t="shared" si="43"/>
        <v>0</v>
      </c>
      <c r="K187" s="269">
        <f t="shared" si="44"/>
        <v>0</v>
      </c>
    </row>
    <row r="188" spans="1:11" s="244" customFormat="1" ht="25.5" customHeight="1">
      <c r="A188" s="271" t="s">
        <v>642</v>
      </c>
      <c r="B188" s="272"/>
      <c r="C188" s="273"/>
      <c r="D188" s="272"/>
      <c r="E188" s="262"/>
      <c r="F188" s="262"/>
      <c r="G188" s="262"/>
      <c r="H188" s="262"/>
      <c r="I188" s="262"/>
      <c r="J188" s="262"/>
      <c r="K188" s="262"/>
    </row>
    <row r="189" spans="1:11" s="263" customFormat="1" ht="15.95" customHeight="1">
      <c r="A189" s="264">
        <v>159</v>
      </c>
      <c r="B189" s="329" t="s">
        <v>643</v>
      </c>
      <c r="C189" s="325">
        <v>1</v>
      </c>
      <c r="D189" s="326" t="s">
        <v>470</v>
      </c>
      <c r="E189" s="269"/>
      <c r="F189" s="269">
        <f t="shared" ref="F189:F206" si="45">E189*C189</f>
        <v>0</v>
      </c>
      <c r="G189" s="269"/>
      <c r="H189" s="269">
        <f t="shared" ref="H189:H206" si="46">G189*C189</f>
        <v>0</v>
      </c>
      <c r="I189" s="269"/>
      <c r="J189" s="269">
        <f t="shared" ref="J189:J206" si="47">I189*C189</f>
        <v>0</v>
      </c>
      <c r="K189" s="269">
        <f t="shared" ref="K189:K206" si="48">J189+H189+F189</f>
        <v>0</v>
      </c>
    </row>
    <row r="190" spans="1:11" s="263" customFormat="1" ht="15.95" customHeight="1">
      <c r="A190" s="264">
        <v>160</v>
      </c>
      <c r="B190" s="342" t="s">
        <v>605</v>
      </c>
      <c r="C190" s="325">
        <v>3</v>
      </c>
      <c r="D190" s="326" t="s">
        <v>467</v>
      </c>
      <c r="E190" s="269"/>
      <c r="F190" s="269">
        <f t="shared" si="45"/>
        <v>0</v>
      </c>
      <c r="G190" s="269"/>
      <c r="H190" s="269">
        <f t="shared" si="46"/>
        <v>0</v>
      </c>
      <c r="I190" s="269"/>
      <c r="J190" s="269">
        <f t="shared" si="47"/>
        <v>0</v>
      </c>
      <c r="K190" s="269">
        <f t="shared" si="48"/>
        <v>0</v>
      </c>
    </row>
    <row r="191" spans="1:11" s="263" customFormat="1" ht="15.95" customHeight="1">
      <c r="A191" s="264">
        <v>161</v>
      </c>
      <c r="B191" s="342" t="s">
        <v>606</v>
      </c>
      <c r="C191" s="325">
        <v>56</v>
      </c>
      <c r="D191" s="326" t="s">
        <v>607</v>
      </c>
      <c r="E191" s="269"/>
      <c r="F191" s="269">
        <f t="shared" si="45"/>
        <v>0</v>
      </c>
      <c r="G191" s="269"/>
      <c r="H191" s="269">
        <f t="shared" si="46"/>
        <v>0</v>
      </c>
      <c r="I191" s="269"/>
      <c r="J191" s="269">
        <f t="shared" si="47"/>
        <v>0</v>
      </c>
      <c r="K191" s="269">
        <f t="shared" si="48"/>
        <v>0</v>
      </c>
    </row>
    <row r="192" spans="1:11" s="263" customFormat="1" ht="15.95" customHeight="1">
      <c r="A192" s="264">
        <v>162</v>
      </c>
      <c r="B192" s="329" t="s">
        <v>579</v>
      </c>
      <c r="C192" s="325">
        <v>9</v>
      </c>
      <c r="D192" s="326" t="s">
        <v>473</v>
      </c>
      <c r="E192" s="269"/>
      <c r="F192" s="269">
        <f t="shared" si="45"/>
        <v>0</v>
      </c>
      <c r="G192" s="269"/>
      <c r="H192" s="269">
        <f t="shared" si="46"/>
        <v>0</v>
      </c>
      <c r="I192" s="269"/>
      <c r="J192" s="269">
        <f t="shared" si="47"/>
        <v>0</v>
      </c>
      <c r="K192" s="269">
        <f t="shared" si="48"/>
        <v>0</v>
      </c>
    </row>
    <row r="193" spans="1:11" s="263" customFormat="1" ht="15.95" customHeight="1">
      <c r="A193" s="264">
        <v>163</v>
      </c>
      <c r="B193" s="329" t="s">
        <v>588</v>
      </c>
      <c r="C193" s="325">
        <v>9</v>
      </c>
      <c r="D193" s="326" t="s">
        <v>473</v>
      </c>
      <c r="E193" s="269"/>
      <c r="F193" s="269">
        <f t="shared" si="45"/>
        <v>0</v>
      </c>
      <c r="G193" s="269"/>
      <c r="H193" s="269">
        <f t="shared" si="46"/>
        <v>0</v>
      </c>
      <c r="I193" s="269"/>
      <c r="J193" s="269">
        <f t="shared" si="47"/>
        <v>0</v>
      </c>
      <c r="K193" s="269">
        <f t="shared" si="48"/>
        <v>0</v>
      </c>
    </row>
    <row r="194" spans="1:11" s="263" customFormat="1" ht="15.95" customHeight="1">
      <c r="A194" s="264">
        <v>164</v>
      </c>
      <c r="B194" s="329" t="s">
        <v>644</v>
      </c>
      <c r="C194" s="325">
        <v>9</v>
      </c>
      <c r="D194" s="326" t="s">
        <v>473</v>
      </c>
      <c r="E194" s="269"/>
      <c r="F194" s="269">
        <f t="shared" si="45"/>
        <v>0</v>
      </c>
      <c r="G194" s="269"/>
      <c r="H194" s="269">
        <f t="shared" si="46"/>
        <v>0</v>
      </c>
      <c r="I194" s="269"/>
      <c r="J194" s="269">
        <f t="shared" si="47"/>
        <v>0</v>
      </c>
      <c r="K194" s="269">
        <f t="shared" si="48"/>
        <v>0</v>
      </c>
    </row>
    <row r="195" spans="1:11" s="263" customFormat="1" ht="15.95" customHeight="1">
      <c r="A195" s="264">
        <v>165</v>
      </c>
      <c r="B195" s="328" t="s">
        <v>645</v>
      </c>
      <c r="C195" s="325">
        <v>1</v>
      </c>
      <c r="D195" s="267" t="s">
        <v>473</v>
      </c>
      <c r="E195" s="269"/>
      <c r="F195" s="269">
        <f t="shared" si="45"/>
        <v>0</v>
      </c>
      <c r="G195" s="269"/>
      <c r="H195" s="269">
        <f t="shared" si="46"/>
        <v>0</v>
      </c>
      <c r="I195" s="269"/>
      <c r="J195" s="269">
        <f t="shared" si="47"/>
        <v>0</v>
      </c>
      <c r="K195" s="269">
        <f t="shared" si="48"/>
        <v>0</v>
      </c>
    </row>
    <row r="196" spans="1:11" s="263" customFormat="1" ht="15.95" customHeight="1">
      <c r="A196" s="264">
        <v>166</v>
      </c>
      <c r="B196" s="328" t="s">
        <v>646</v>
      </c>
      <c r="C196" s="325">
        <v>2</v>
      </c>
      <c r="D196" s="267" t="s">
        <v>473</v>
      </c>
      <c r="E196" s="269"/>
      <c r="F196" s="269">
        <f t="shared" si="45"/>
        <v>0</v>
      </c>
      <c r="G196" s="269"/>
      <c r="H196" s="269">
        <f t="shared" si="46"/>
        <v>0</v>
      </c>
      <c r="I196" s="269"/>
      <c r="J196" s="269">
        <f t="shared" si="47"/>
        <v>0</v>
      </c>
      <c r="K196" s="269">
        <f t="shared" si="48"/>
        <v>0</v>
      </c>
    </row>
    <row r="197" spans="1:11" s="263" customFormat="1" ht="15.95" customHeight="1">
      <c r="A197" s="264">
        <v>167</v>
      </c>
      <c r="B197" s="328" t="s">
        <v>577</v>
      </c>
      <c r="C197" s="325">
        <v>6</v>
      </c>
      <c r="D197" s="267" t="s">
        <v>473</v>
      </c>
      <c r="E197" s="269"/>
      <c r="F197" s="269">
        <f t="shared" si="45"/>
        <v>0</v>
      </c>
      <c r="G197" s="269"/>
      <c r="H197" s="269">
        <f t="shared" si="46"/>
        <v>0</v>
      </c>
      <c r="I197" s="269"/>
      <c r="J197" s="269">
        <f t="shared" si="47"/>
        <v>0</v>
      </c>
      <c r="K197" s="269">
        <f t="shared" si="48"/>
        <v>0</v>
      </c>
    </row>
    <row r="198" spans="1:11" s="263" customFormat="1" ht="15.95" customHeight="1">
      <c r="A198" s="264">
        <v>168</v>
      </c>
      <c r="B198" s="333" t="s">
        <v>647</v>
      </c>
      <c r="C198" s="325">
        <v>2</v>
      </c>
      <c r="D198" s="267" t="s">
        <v>473</v>
      </c>
      <c r="E198" s="269"/>
      <c r="F198" s="269">
        <f t="shared" si="45"/>
        <v>0</v>
      </c>
      <c r="G198" s="269"/>
      <c r="H198" s="269">
        <f t="shared" si="46"/>
        <v>0</v>
      </c>
      <c r="I198" s="269"/>
      <c r="J198" s="269">
        <f t="shared" si="47"/>
        <v>0</v>
      </c>
      <c r="K198" s="269">
        <f t="shared" si="48"/>
        <v>0</v>
      </c>
    </row>
    <row r="199" spans="1:11" s="263" customFormat="1" ht="15.95" customHeight="1">
      <c r="A199" s="264">
        <v>169</v>
      </c>
      <c r="B199" s="333" t="s">
        <v>590</v>
      </c>
      <c r="C199" s="325">
        <v>3</v>
      </c>
      <c r="D199" s="267" t="s">
        <v>473</v>
      </c>
      <c r="E199" s="269"/>
      <c r="F199" s="269">
        <f t="shared" si="45"/>
        <v>0</v>
      </c>
      <c r="G199" s="269"/>
      <c r="H199" s="269">
        <f t="shared" si="46"/>
        <v>0</v>
      </c>
      <c r="I199" s="269"/>
      <c r="J199" s="269">
        <f t="shared" si="47"/>
        <v>0</v>
      </c>
      <c r="K199" s="269">
        <f t="shared" si="48"/>
        <v>0</v>
      </c>
    </row>
    <row r="200" spans="1:11" s="263" customFormat="1" ht="15.95" customHeight="1">
      <c r="A200" s="264">
        <v>170</v>
      </c>
      <c r="B200" s="333" t="s">
        <v>591</v>
      </c>
      <c r="C200" s="325">
        <v>4</v>
      </c>
      <c r="D200" s="267" t="s">
        <v>473</v>
      </c>
      <c r="E200" s="269"/>
      <c r="F200" s="269">
        <f t="shared" si="45"/>
        <v>0</v>
      </c>
      <c r="G200" s="269"/>
      <c r="H200" s="269">
        <f t="shared" si="46"/>
        <v>0</v>
      </c>
      <c r="I200" s="269"/>
      <c r="J200" s="269">
        <f t="shared" si="47"/>
        <v>0</v>
      </c>
      <c r="K200" s="269">
        <f t="shared" si="48"/>
        <v>0</v>
      </c>
    </row>
    <row r="201" spans="1:11" s="263" customFormat="1" ht="15.95" customHeight="1">
      <c r="A201" s="264">
        <v>171</v>
      </c>
      <c r="B201" s="324" t="s">
        <v>575</v>
      </c>
      <c r="C201" s="325">
        <v>1</v>
      </c>
      <c r="D201" s="326" t="s">
        <v>473</v>
      </c>
      <c r="E201" s="269"/>
      <c r="F201" s="269">
        <f t="shared" si="45"/>
        <v>0</v>
      </c>
      <c r="G201" s="269"/>
      <c r="H201" s="269">
        <f t="shared" si="46"/>
        <v>0</v>
      </c>
      <c r="I201" s="269"/>
      <c r="J201" s="269">
        <f t="shared" si="47"/>
        <v>0</v>
      </c>
      <c r="K201" s="269">
        <f t="shared" si="48"/>
        <v>0</v>
      </c>
    </row>
    <row r="202" spans="1:11" s="263" customFormat="1" ht="15.95" customHeight="1">
      <c r="A202" s="264">
        <v>172</v>
      </c>
      <c r="B202" s="324" t="s">
        <v>648</v>
      </c>
      <c r="C202" s="325">
        <v>1</v>
      </c>
      <c r="D202" s="326" t="s">
        <v>473</v>
      </c>
      <c r="E202" s="269"/>
      <c r="F202" s="269">
        <f t="shared" si="45"/>
        <v>0</v>
      </c>
      <c r="G202" s="269"/>
      <c r="H202" s="269">
        <f t="shared" si="46"/>
        <v>0</v>
      </c>
      <c r="I202" s="269"/>
      <c r="J202" s="269">
        <f t="shared" si="47"/>
        <v>0</v>
      </c>
      <c r="K202" s="269">
        <f t="shared" si="48"/>
        <v>0</v>
      </c>
    </row>
    <row r="203" spans="1:11" s="263" customFormat="1" ht="15.95" customHeight="1">
      <c r="A203" s="264">
        <v>173</v>
      </c>
      <c r="B203" s="324" t="s">
        <v>649</v>
      </c>
      <c r="C203" s="325">
        <v>1</v>
      </c>
      <c r="D203" s="326" t="s">
        <v>473</v>
      </c>
      <c r="E203" s="269"/>
      <c r="F203" s="269">
        <f t="shared" si="45"/>
        <v>0</v>
      </c>
      <c r="G203" s="269"/>
      <c r="H203" s="269">
        <f t="shared" si="46"/>
        <v>0</v>
      </c>
      <c r="I203" s="269"/>
      <c r="J203" s="269">
        <f t="shared" si="47"/>
        <v>0</v>
      </c>
      <c r="K203" s="269">
        <f t="shared" si="48"/>
        <v>0</v>
      </c>
    </row>
    <row r="204" spans="1:11" s="423" customFormat="1" ht="15.95" customHeight="1">
      <c r="A204" s="419">
        <v>174</v>
      </c>
      <c r="B204" s="420" t="s">
        <v>650</v>
      </c>
      <c r="C204" s="421">
        <v>8</v>
      </c>
      <c r="D204" s="422" t="s">
        <v>473</v>
      </c>
      <c r="E204" s="417"/>
      <c r="F204" s="417">
        <f t="shared" si="45"/>
        <v>0</v>
      </c>
      <c r="G204" s="417"/>
      <c r="H204" s="417">
        <f t="shared" si="46"/>
        <v>0</v>
      </c>
      <c r="I204" s="417"/>
      <c r="J204" s="417">
        <f t="shared" si="47"/>
        <v>0</v>
      </c>
      <c r="K204" s="417">
        <f t="shared" si="48"/>
        <v>0</v>
      </c>
    </row>
    <row r="205" spans="1:11" s="263" customFormat="1" ht="20.25" customHeight="1">
      <c r="A205" s="264">
        <v>175</v>
      </c>
      <c r="B205" s="324" t="s">
        <v>651</v>
      </c>
      <c r="C205" s="325">
        <v>1</v>
      </c>
      <c r="D205" s="326" t="s">
        <v>470</v>
      </c>
      <c r="E205" s="269"/>
      <c r="F205" s="269">
        <f t="shared" si="45"/>
        <v>0</v>
      </c>
      <c r="G205" s="269"/>
      <c r="H205" s="269">
        <f t="shared" si="46"/>
        <v>0</v>
      </c>
      <c r="I205" s="269"/>
      <c r="J205" s="269">
        <f t="shared" si="47"/>
        <v>0</v>
      </c>
      <c r="K205" s="269">
        <f t="shared" si="48"/>
        <v>0</v>
      </c>
    </row>
    <row r="206" spans="1:11" ht="15.95" customHeight="1">
      <c r="A206" s="264">
        <v>175</v>
      </c>
      <c r="B206" s="281" t="s">
        <v>585</v>
      </c>
      <c r="C206" s="315">
        <v>1</v>
      </c>
      <c r="D206" s="331" t="s">
        <v>483</v>
      </c>
      <c r="E206" s="269"/>
      <c r="F206" s="269">
        <f t="shared" si="45"/>
        <v>0</v>
      </c>
      <c r="G206" s="269"/>
      <c r="H206" s="269">
        <f t="shared" si="46"/>
        <v>0</v>
      </c>
      <c r="I206" s="269"/>
      <c r="J206" s="269">
        <f t="shared" si="47"/>
        <v>0</v>
      </c>
      <c r="K206" s="269">
        <f t="shared" si="48"/>
        <v>0</v>
      </c>
    </row>
    <row r="207" spans="1:11" s="244" customFormat="1" ht="22.5" customHeight="1">
      <c r="A207" s="271" t="s">
        <v>652</v>
      </c>
      <c r="B207" s="272"/>
      <c r="C207" s="273"/>
      <c r="D207" s="272"/>
      <c r="E207" s="262"/>
      <c r="F207" s="262"/>
      <c r="G207" s="262"/>
      <c r="H207" s="262"/>
      <c r="I207" s="262"/>
      <c r="J207" s="262"/>
      <c r="K207" s="262"/>
    </row>
    <row r="208" spans="1:11" s="263" customFormat="1" ht="15.95" customHeight="1">
      <c r="A208" s="264">
        <v>176</v>
      </c>
      <c r="B208" s="329" t="s">
        <v>653</v>
      </c>
      <c r="C208" s="325">
        <v>1</v>
      </c>
      <c r="D208" s="326" t="s">
        <v>470</v>
      </c>
      <c r="E208" s="269"/>
      <c r="F208" s="269">
        <f t="shared" ref="F208:F223" si="49">E208*C208</f>
        <v>0</v>
      </c>
      <c r="G208" s="269"/>
      <c r="H208" s="269">
        <f t="shared" ref="H208:H223" si="50">G208*C208</f>
        <v>0</v>
      </c>
      <c r="I208" s="269"/>
      <c r="J208" s="269">
        <f t="shared" ref="J208:J223" si="51">I208*C208</f>
        <v>0</v>
      </c>
      <c r="K208" s="269">
        <f t="shared" ref="K208:K223" si="52">J208+H208+F208</f>
        <v>0</v>
      </c>
    </row>
    <row r="209" spans="1:11" s="263" customFormat="1" ht="15.95" customHeight="1">
      <c r="A209" s="264">
        <v>177</v>
      </c>
      <c r="B209" s="342" t="s">
        <v>605</v>
      </c>
      <c r="C209" s="325">
        <v>3</v>
      </c>
      <c r="D209" s="326" t="s">
        <v>467</v>
      </c>
      <c r="E209" s="269"/>
      <c r="F209" s="269">
        <f t="shared" si="49"/>
        <v>0</v>
      </c>
      <c r="G209" s="269"/>
      <c r="H209" s="269">
        <f t="shared" si="50"/>
        <v>0</v>
      </c>
      <c r="I209" s="269"/>
      <c r="J209" s="269">
        <f t="shared" si="51"/>
        <v>0</v>
      </c>
      <c r="K209" s="269">
        <f t="shared" si="52"/>
        <v>0</v>
      </c>
    </row>
    <row r="210" spans="1:11" s="263" customFormat="1" ht="15.95" customHeight="1">
      <c r="A210" s="264">
        <v>178</v>
      </c>
      <c r="B210" s="342" t="s">
        <v>606</v>
      </c>
      <c r="C210" s="325">
        <v>26</v>
      </c>
      <c r="D210" s="326" t="s">
        <v>607</v>
      </c>
      <c r="E210" s="269"/>
      <c r="F210" s="269">
        <f t="shared" si="49"/>
        <v>0</v>
      </c>
      <c r="G210" s="269"/>
      <c r="H210" s="269">
        <f t="shared" si="50"/>
        <v>0</v>
      </c>
      <c r="I210" s="269"/>
      <c r="J210" s="269">
        <f t="shared" si="51"/>
        <v>0</v>
      </c>
      <c r="K210" s="269">
        <f t="shared" si="52"/>
        <v>0</v>
      </c>
    </row>
    <row r="211" spans="1:11" s="263" customFormat="1" ht="15.95" customHeight="1">
      <c r="A211" s="264">
        <v>179</v>
      </c>
      <c r="B211" s="329" t="s">
        <v>579</v>
      </c>
      <c r="C211" s="325">
        <v>4</v>
      </c>
      <c r="D211" s="326" t="s">
        <v>473</v>
      </c>
      <c r="E211" s="269"/>
      <c r="F211" s="269">
        <f t="shared" si="49"/>
        <v>0</v>
      </c>
      <c r="G211" s="269"/>
      <c r="H211" s="269">
        <f t="shared" si="50"/>
        <v>0</v>
      </c>
      <c r="I211" s="269"/>
      <c r="J211" s="269">
        <f t="shared" si="51"/>
        <v>0</v>
      </c>
      <c r="K211" s="269">
        <f t="shared" si="52"/>
        <v>0</v>
      </c>
    </row>
    <row r="212" spans="1:11" s="263" customFormat="1" ht="15.95" customHeight="1">
      <c r="A212" s="264">
        <v>180</v>
      </c>
      <c r="B212" s="329" t="s">
        <v>588</v>
      </c>
      <c r="C212" s="325">
        <v>4</v>
      </c>
      <c r="D212" s="326" t="s">
        <v>473</v>
      </c>
      <c r="E212" s="269"/>
      <c r="F212" s="269">
        <f t="shared" si="49"/>
        <v>0</v>
      </c>
      <c r="G212" s="269"/>
      <c r="H212" s="269">
        <f t="shared" si="50"/>
        <v>0</v>
      </c>
      <c r="I212" s="269"/>
      <c r="J212" s="269">
        <f t="shared" si="51"/>
        <v>0</v>
      </c>
      <c r="K212" s="269">
        <f t="shared" si="52"/>
        <v>0</v>
      </c>
    </row>
    <row r="213" spans="1:11" s="263" customFormat="1" ht="15.95" customHeight="1">
      <c r="A213" s="264">
        <v>181</v>
      </c>
      <c r="B213" s="329" t="s">
        <v>644</v>
      </c>
      <c r="C213" s="325">
        <v>4</v>
      </c>
      <c r="D213" s="326" t="s">
        <v>473</v>
      </c>
      <c r="E213" s="269"/>
      <c r="F213" s="269">
        <f t="shared" si="49"/>
        <v>0</v>
      </c>
      <c r="G213" s="269"/>
      <c r="H213" s="269">
        <f t="shared" si="50"/>
        <v>0</v>
      </c>
      <c r="I213" s="269"/>
      <c r="J213" s="269">
        <f t="shared" si="51"/>
        <v>0</v>
      </c>
      <c r="K213" s="269">
        <f t="shared" si="52"/>
        <v>0</v>
      </c>
    </row>
    <row r="214" spans="1:11" s="244" customFormat="1" ht="15.95" customHeight="1">
      <c r="A214" s="264">
        <v>182</v>
      </c>
      <c r="B214" s="328" t="s">
        <v>645</v>
      </c>
      <c r="C214" s="325">
        <v>1</v>
      </c>
      <c r="D214" s="267" t="s">
        <v>473</v>
      </c>
      <c r="E214" s="269"/>
      <c r="F214" s="269">
        <f t="shared" si="49"/>
        <v>0</v>
      </c>
      <c r="G214" s="269"/>
      <c r="H214" s="269">
        <f t="shared" si="50"/>
        <v>0</v>
      </c>
      <c r="I214" s="269"/>
      <c r="J214" s="269">
        <f t="shared" si="51"/>
        <v>0</v>
      </c>
      <c r="K214" s="269">
        <f t="shared" si="52"/>
        <v>0</v>
      </c>
    </row>
    <row r="215" spans="1:11" s="244" customFormat="1" ht="15.95" customHeight="1">
      <c r="A215" s="264">
        <v>183</v>
      </c>
      <c r="B215" s="328" t="s">
        <v>577</v>
      </c>
      <c r="C215" s="325">
        <v>3</v>
      </c>
      <c r="D215" s="267" t="s">
        <v>473</v>
      </c>
      <c r="E215" s="269"/>
      <c r="F215" s="269">
        <f t="shared" si="49"/>
        <v>0</v>
      </c>
      <c r="G215" s="269"/>
      <c r="H215" s="269">
        <f t="shared" si="50"/>
        <v>0</v>
      </c>
      <c r="I215" s="269"/>
      <c r="J215" s="269">
        <f t="shared" si="51"/>
        <v>0</v>
      </c>
      <c r="K215" s="269">
        <f t="shared" si="52"/>
        <v>0</v>
      </c>
    </row>
    <row r="216" spans="1:11" s="244" customFormat="1" ht="15.95" customHeight="1">
      <c r="A216" s="264">
        <v>184</v>
      </c>
      <c r="B216" s="333" t="s">
        <v>590</v>
      </c>
      <c r="C216" s="325">
        <v>2</v>
      </c>
      <c r="D216" s="267" t="s">
        <v>473</v>
      </c>
      <c r="E216" s="269"/>
      <c r="F216" s="269">
        <f t="shared" si="49"/>
        <v>0</v>
      </c>
      <c r="G216" s="269"/>
      <c r="H216" s="269">
        <f t="shared" si="50"/>
        <v>0</v>
      </c>
      <c r="I216" s="269"/>
      <c r="J216" s="269">
        <f t="shared" si="51"/>
        <v>0</v>
      </c>
      <c r="K216" s="269">
        <f t="shared" si="52"/>
        <v>0</v>
      </c>
    </row>
    <row r="217" spans="1:11" s="244" customFormat="1" ht="15.95" customHeight="1">
      <c r="A217" s="264">
        <v>185</v>
      </c>
      <c r="B217" s="333" t="s">
        <v>591</v>
      </c>
      <c r="C217" s="325">
        <v>2</v>
      </c>
      <c r="D217" s="267" t="s">
        <v>473</v>
      </c>
      <c r="E217" s="269"/>
      <c r="F217" s="269">
        <f t="shared" si="49"/>
        <v>0</v>
      </c>
      <c r="G217" s="269"/>
      <c r="H217" s="269">
        <f t="shared" si="50"/>
        <v>0</v>
      </c>
      <c r="I217" s="269"/>
      <c r="J217" s="269">
        <f t="shared" si="51"/>
        <v>0</v>
      </c>
      <c r="K217" s="269">
        <f t="shared" si="52"/>
        <v>0</v>
      </c>
    </row>
    <row r="218" spans="1:11" ht="15.95" customHeight="1">
      <c r="A218" s="264">
        <v>186</v>
      </c>
      <c r="B218" s="317" t="s">
        <v>628</v>
      </c>
      <c r="C218" s="315">
        <v>1</v>
      </c>
      <c r="D218" s="316" t="s">
        <v>473</v>
      </c>
      <c r="E218" s="269"/>
      <c r="F218" s="269">
        <f t="shared" si="49"/>
        <v>0</v>
      </c>
      <c r="G218" s="269"/>
      <c r="H218" s="269">
        <f t="shared" si="50"/>
        <v>0</v>
      </c>
      <c r="I218" s="269"/>
      <c r="J218" s="269">
        <f t="shared" si="51"/>
        <v>0</v>
      </c>
      <c r="K218" s="269">
        <f t="shared" si="52"/>
        <v>0</v>
      </c>
    </row>
    <row r="219" spans="1:11" s="263" customFormat="1" ht="15.95" customHeight="1">
      <c r="A219" s="264">
        <v>187</v>
      </c>
      <c r="B219" s="324" t="s">
        <v>648</v>
      </c>
      <c r="C219" s="325">
        <v>1</v>
      </c>
      <c r="D219" s="326" t="s">
        <v>473</v>
      </c>
      <c r="E219" s="269"/>
      <c r="F219" s="269">
        <f t="shared" si="49"/>
        <v>0</v>
      </c>
      <c r="G219" s="269"/>
      <c r="H219" s="269">
        <f t="shared" si="50"/>
        <v>0</v>
      </c>
      <c r="I219" s="269"/>
      <c r="J219" s="269">
        <f t="shared" si="51"/>
        <v>0</v>
      </c>
      <c r="K219" s="269">
        <f t="shared" si="52"/>
        <v>0</v>
      </c>
    </row>
    <row r="220" spans="1:11" s="263" customFormat="1" ht="15.95" customHeight="1">
      <c r="A220" s="264">
        <v>188</v>
      </c>
      <c r="B220" s="324" t="s">
        <v>654</v>
      </c>
      <c r="C220" s="325">
        <v>1</v>
      </c>
      <c r="D220" s="326" t="s">
        <v>473</v>
      </c>
      <c r="E220" s="269"/>
      <c r="F220" s="269">
        <f t="shared" si="49"/>
        <v>0</v>
      </c>
      <c r="G220" s="269"/>
      <c r="H220" s="269">
        <f t="shared" si="50"/>
        <v>0</v>
      </c>
      <c r="I220" s="269"/>
      <c r="J220" s="269">
        <f t="shared" si="51"/>
        <v>0</v>
      </c>
      <c r="K220" s="269">
        <f t="shared" si="52"/>
        <v>0</v>
      </c>
    </row>
    <row r="221" spans="1:11" s="263" customFormat="1" ht="15.95" customHeight="1">
      <c r="A221" s="264">
        <v>189</v>
      </c>
      <c r="B221" s="324" t="s">
        <v>650</v>
      </c>
      <c r="C221" s="325">
        <v>8</v>
      </c>
      <c r="D221" s="326" t="s">
        <v>473</v>
      </c>
      <c r="E221" s="269"/>
      <c r="F221" s="269">
        <f t="shared" si="49"/>
        <v>0</v>
      </c>
      <c r="G221" s="269"/>
      <c r="H221" s="269">
        <f t="shared" si="50"/>
        <v>0</v>
      </c>
      <c r="I221" s="269"/>
      <c r="J221" s="269">
        <f t="shared" si="51"/>
        <v>0</v>
      </c>
      <c r="K221" s="269">
        <f t="shared" si="52"/>
        <v>0</v>
      </c>
    </row>
    <row r="222" spans="1:11" s="263" customFormat="1" ht="19.5" customHeight="1">
      <c r="A222" s="264">
        <v>190</v>
      </c>
      <c r="B222" s="324" t="s">
        <v>655</v>
      </c>
      <c r="C222" s="325">
        <v>1</v>
      </c>
      <c r="D222" s="326" t="s">
        <v>470</v>
      </c>
      <c r="E222" s="269"/>
      <c r="F222" s="269">
        <f t="shared" si="49"/>
        <v>0</v>
      </c>
      <c r="G222" s="269"/>
      <c r="H222" s="269">
        <f t="shared" si="50"/>
        <v>0</v>
      </c>
      <c r="I222" s="269"/>
      <c r="J222" s="269">
        <f t="shared" si="51"/>
        <v>0</v>
      </c>
      <c r="K222" s="269">
        <f t="shared" si="52"/>
        <v>0</v>
      </c>
    </row>
    <row r="223" spans="1:11" ht="15.95" customHeight="1">
      <c r="A223" s="264">
        <v>190</v>
      </c>
      <c r="B223" s="281" t="s">
        <v>585</v>
      </c>
      <c r="C223" s="315">
        <v>1</v>
      </c>
      <c r="D223" s="331" t="s">
        <v>483</v>
      </c>
      <c r="E223" s="269"/>
      <c r="F223" s="269">
        <f t="shared" si="49"/>
        <v>0</v>
      </c>
      <c r="G223" s="269"/>
      <c r="H223" s="269">
        <f t="shared" si="50"/>
        <v>0</v>
      </c>
      <c r="I223" s="269"/>
      <c r="J223" s="269">
        <f t="shared" si="51"/>
        <v>0</v>
      </c>
      <c r="K223" s="269">
        <f t="shared" si="52"/>
        <v>0</v>
      </c>
    </row>
    <row r="224" spans="1:11" s="263" customFormat="1" ht="20.25" customHeight="1">
      <c r="A224" s="271" t="s">
        <v>656</v>
      </c>
      <c r="B224" s="272"/>
      <c r="C224" s="273"/>
      <c r="D224" s="272"/>
      <c r="E224" s="262"/>
      <c r="F224" s="262"/>
      <c r="G224" s="262"/>
      <c r="H224" s="262"/>
      <c r="I224" s="262"/>
      <c r="J224" s="262"/>
      <c r="K224" s="262"/>
    </row>
    <row r="225" spans="1:11" s="263" customFormat="1" ht="15.95" customHeight="1">
      <c r="A225" s="264">
        <v>191</v>
      </c>
      <c r="B225" s="335" t="s">
        <v>657</v>
      </c>
      <c r="C225" s="325">
        <v>1</v>
      </c>
      <c r="D225" s="326" t="s">
        <v>470</v>
      </c>
      <c r="E225" s="269"/>
      <c r="F225" s="269">
        <f t="shared" ref="F225:F231" si="53">E225*C225</f>
        <v>0</v>
      </c>
      <c r="G225" s="269"/>
      <c r="H225" s="269">
        <f t="shared" ref="H225:H231" si="54">G225*C225</f>
        <v>0</v>
      </c>
      <c r="I225" s="269"/>
      <c r="J225" s="269">
        <f t="shared" ref="J225:J231" si="55">I225*C225</f>
        <v>0</v>
      </c>
      <c r="K225" s="269">
        <f t="shared" ref="K225:K231" si="56">J225+H225+F225</f>
        <v>0</v>
      </c>
    </row>
    <row r="226" spans="1:11" s="263" customFormat="1" ht="15.95" customHeight="1">
      <c r="A226" s="264">
        <v>192</v>
      </c>
      <c r="B226" s="334" t="s">
        <v>605</v>
      </c>
      <c r="C226" s="325">
        <v>3</v>
      </c>
      <c r="D226" s="326" t="s">
        <v>467</v>
      </c>
      <c r="E226" s="269"/>
      <c r="F226" s="269">
        <f t="shared" si="53"/>
        <v>0</v>
      </c>
      <c r="G226" s="269"/>
      <c r="H226" s="269">
        <f t="shared" si="54"/>
        <v>0</v>
      </c>
      <c r="I226" s="269"/>
      <c r="J226" s="269">
        <f t="shared" si="55"/>
        <v>0</v>
      </c>
      <c r="K226" s="269">
        <f t="shared" si="56"/>
        <v>0</v>
      </c>
    </row>
    <row r="227" spans="1:11" s="263" customFormat="1" ht="15.95" customHeight="1">
      <c r="A227" s="264">
        <v>193</v>
      </c>
      <c r="B227" s="334" t="s">
        <v>606</v>
      </c>
      <c r="C227" s="325">
        <v>12</v>
      </c>
      <c r="D227" s="326" t="s">
        <v>607</v>
      </c>
      <c r="E227" s="269"/>
      <c r="F227" s="269">
        <f t="shared" si="53"/>
        <v>0</v>
      </c>
      <c r="G227" s="269"/>
      <c r="H227" s="269">
        <f t="shared" si="54"/>
        <v>0</v>
      </c>
      <c r="I227" s="269"/>
      <c r="J227" s="269">
        <f t="shared" si="55"/>
        <v>0</v>
      </c>
      <c r="K227" s="269">
        <f t="shared" si="56"/>
        <v>0</v>
      </c>
    </row>
    <row r="228" spans="1:11" s="263" customFormat="1" ht="15.95" customHeight="1">
      <c r="A228" s="264">
        <v>194</v>
      </c>
      <c r="B228" s="324" t="s">
        <v>598</v>
      </c>
      <c r="C228" s="325">
        <v>2</v>
      </c>
      <c r="D228" s="326" t="s">
        <v>473</v>
      </c>
      <c r="E228" s="269"/>
      <c r="F228" s="269">
        <f t="shared" si="53"/>
        <v>0</v>
      </c>
      <c r="G228" s="269"/>
      <c r="H228" s="269">
        <f t="shared" si="54"/>
        <v>0</v>
      </c>
      <c r="I228" s="269"/>
      <c r="J228" s="269">
        <f t="shared" si="55"/>
        <v>0</v>
      </c>
      <c r="K228" s="269">
        <f t="shared" si="56"/>
        <v>0</v>
      </c>
    </row>
    <row r="229" spans="1:11" s="263" customFormat="1" ht="15.95" customHeight="1">
      <c r="A229" s="264">
        <v>195</v>
      </c>
      <c r="B229" s="324" t="s">
        <v>599</v>
      </c>
      <c r="C229" s="325">
        <v>2</v>
      </c>
      <c r="D229" s="326" t="s">
        <v>473</v>
      </c>
      <c r="E229" s="269"/>
      <c r="F229" s="269">
        <f t="shared" si="53"/>
        <v>0</v>
      </c>
      <c r="G229" s="269"/>
      <c r="H229" s="269">
        <f t="shared" si="54"/>
        <v>0</v>
      </c>
      <c r="I229" s="269"/>
      <c r="J229" s="269">
        <f t="shared" si="55"/>
        <v>0</v>
      </c>
      <c r="K229" s="269">
        <f t="shared" si="56"/>
        <v>0</v>
      </c>
    </row>
    <row r="230" spans="1:11" s="263" customFormat="1" ht="15.95" customHeight="1">
      <c r="A230" s="264">
        <v>196</v>
      </c>
      <c r="B230" s="324" t="s">
        <v>654</v>
      </c>
      <c r="C230" s="325">
        <v>1</v>
      </c>
      <c r="D230" s="326" t="s">
        <v>473</v>
      </c>
      <c r="E230" s="269"/>
      <c r="F230" s="269">
        <f t="shared" si="53"/>
        <v>0</v>
      </c>
      <c r="G230" s="269"/>
      <c r="H230" s="269">
        <f t="shared" si="54"/>
        <v>0</v>
      </c>
      <c r="I230" s="269"/>
      <c r="J230" s="269">
        <f t="shared" si="55"/>
        <v>0</v>
      </c>
      <c r="K230" s="269">
        <f t="shared" si="56"/>
        <v>0</v>
      </c>
    </row>
    <row r="231" spans="1:11" ht="15.95" customHeight="1">
      <c r="A231" s="264">
        <v>196</v>
      </c>
      <c r="B231" s="281" t="s">
        <v>585</v>
      </c>
      <c r="C231" s="315">
        <v>1</v>
      </c>
      <c r="D231" s="331" t="s">
        <v>483</v>
      </c>
      <c r="E231" s="269"/>
      <c r="F231" s="269">
        <f t="shared" si="53"/>
        <v>0</v>
      </c>
      <c r="G231" s="269"/>
      <c r="H231" s="269">
        <f t="shared" si="54"/>
        <v>0</v>
      </c>
      <c r="I231" s="269"/>
      <c r="J231" s="269">
        <f t="shared" si="55"/>
        <v>0</v>
      </c>
      <c r="K231" s="269">
        <f t="shared" si="56"/>
        <v>0</v>
      </c>
    </row>
    <row r="232" spans="1:11" s="263" customFormat="1" ht="21" customHeight="1">
      <c r="A232" s="271" t="s">
        <v>658</v>
      </c>
      <c r="B232" s="272"/>
      <c r="C232" s="273"/>
      <c r="D232" s="272"/>
      <c r="E232" s="262"/>
      <c r="F232" s="262"/>
      <c r="G232" s="262"/>
      <c r="H232" s="262"/>
      <c r="I232" s="262"/>
      <c r="J232" s="262"/>
      <c r="K232" s="262"/>
    </row>
    <row r="233" spans="1:11" s="263" customFormat="1" ht="15.95" customHeight="1">
      <c r="A233" s="343">
        <v>197</v>
      </c>
      <c r="B233" s="324" t="s">
        <v>659</v>
      </c>
      <c r="C233" s="325">
        <v>54</v>
      </c>
      <c r="D233" s="326" t="s">
        <v>660</v>
      </c>
      <c r="E233" s="269"/>
      <c r="F233" s="269">
        <f t="shared" ref="F233:F240" si="57">E233*C233</f>
        <v>0</v>
      </c>
      <c r="G233" s="269"/>
      <c r="H233" s="269">
        <f t="shared" ref="H233:H240" si="58">G233*C233</f>
        <v>0</v>
      </c>
      <c r="I233" s="269"/>
      <c r="J233" s="269">
        <f t="shared" ref="J233:J240" si="59">I233*C233</f>
        <v>0</v>
      </c>
      <c r="K233" s="269">
        <f t="shared" ref="K233:K240" si="60">J233+H233+F233</f>
        <v>0</v>
      </c>
    </row>
    <row r="234" spans="1:11" s="263" customFormat="1" ht="29.45" customHeight="1">
      <c r="A234" s="343">
        <v>198</v>
      </c>
      <c r="B234" s="334" t="s">
        <v>661</v>
      </c>
      <c r="C234" s="325">
        <v>54</v>
      </c>
      <c r="D234" s="326" t="s">
        <v>473</v>
      </c>
      <c r="E234" s="269"/>
      <c r="F234" s="269">
        <f t="shared" si="57"/>
        <v>0</v>
      </c>
      <c r="G234" s="269"/>
      <c r="H234" s="269">
        <f t="shared" si="58"/>
        <v>0</v>
      </c>
      <c r="I234" s="269"/>
      <c r="J234" s="269">
        <f t="shared" si="59"/>
        <v>0</v>
      </c>
      <c r="K234" s="269">
        <f t="shared" si="60"/>
        <v>0</v>
      </c>
    </row>
    <row r="235" spans="1:11" s="263" customFormat="1" ht="15.95" customHeight="1">
      <c r="A235" s="343">
        <v>199</v>
      </c>
      <c r="B235" s="324" t="s">
        <v>662</v>
      </c>
      <c r="C235" s="325">
        <v>54</v>
      </c>
      <c r="D235" s="326" t="s">
        <v>473</v>
      </c>
      <c r="E235" s="269"/>
      <c r="F235" s="269">
        <f t="shared" si="57"/>
        <v>0</v>
      </c>
      <c r="G235" s="269"/>
      <c r="H235" s="269">
        <f t="shared" si="58"/>
        <v>0</v>
      </c>
      <c r="I235" s="269"/>
      <c r="J235" s="269">
        <f t="shared" si="59"/>
        <v>0</v>
      </c>
      <c r="K235" s="269">
        <f t="shared" si="60"/>
        <v>0</v>
      </c>
    </row>
    <row r="236" spans="1:11" s="263" customFormat="1" ht="15.95" customHeight="1">
      <c r="A236" s="343">
        <v>200</v>
      </c>
      <c r="B236" s="324" t="s">
        <v>596</v>
      </c>
      <c r="C236" s="325">
        <v>162</v>
      </c>
      <c r="D236" s="326" t="s">
        <v>473</v>
      </c>
      <c r="E236" s="269"/>
      <c r="F236" s="269">
        <f t="shared" si="57"/>
        <v>0</v>
      </c>
      <c r="G236" s="269"/>
      <c r="H236" s="269">
        <f t="shared" si="58"/>
        <v>0</v>
      </c>
      <c r="I236" s="269"/>
      <c r="J236" s="269">
        <f t="shared" si="59"/>
        <v>0</v>
      </c>
      <c r="K236" s="269">
        <f t="shared" si="60"/>
        <v>0</v>
      </c>
    </row>
    <row r="237" spans="1:11" s="263" customFormat="1" ht="15.95" customHeight="1">
      <c r="A237" s="343">
        <v>201</v>
      </c>
      <c r="B237" s="324" t="s">
        <v>663</v>
      </c>
      <c r="C237" s="325">
        <v>54</v>
      </c>
      <c r="D237" s="326" t="s">
        <v>473</v>
      </c>
      <c r="E237" s="269"/>
      <c r="F237" s="269">
        <f t="shared" si="57"/>
        <v>0</v>
      </c>
      <c r="G237" s="269"/>
      <c r="H237" s="269">
        <f t="shared" si="58"/>
        <v>0</v>
      </c>
      <c r="I237" s="269"/>
      <c r="J237" s="269">
        <f t="shared" si="59"/>
        <v>0</v>
      </c>
      <c r="K237" s="269">
        <f t="shared" si="60"/>
        <v>0</v>
      </c>
    </row>
    <row r="238" spans="1:11" s="263" customFormat="1" ht="15.95" customHeight="1">
      <c r="A238" s="343">
        <v>202</v>
      </c>
      <c r="B238" s="324" t="s">
        <v>594</v>
      </c>
      <c r="C238" s="325">
        <v>54</v>
      </c>
      <c r="D238" s="326" t="s">
        <v>473</v>
      </c>
      <c r="E238" s="269"/>
      <c r="F238" s="269">
        <f t="shared" si="57"/>
        <v>0</v>
      </c>
      <c r="G238" s="269"/>
      <c r="H238" s="269">
        <f t="shared" si="58"/>
        <v>0</v>
      </c>
      <c r="I238" s="269"/>
      <c r="J238" s="269">
        <f t="shared" si="59"/>
        <v>0</v>
      </c>
      <c r="K238" s="269">
        <f t="shared" si="60"/>
        <v>0</v>
      </c>
    </row>
    <row r="239" spans="1:11" s="263" customFormat="1" ht="15.95" customHeight="1">
      <c r="A239" s="343">
        <v>203</v>
      </c>
      <c r="B239" s="328" t="s">
        <v>664</v>
      </c>
      <c r="C239" s="325">
        <v>54</v>
      </c>
      <c r="D239" s="267" t="s">
        <v>473</v>
      </c>
      <c r="E239" s="269"/>
      <c r="F239" s="269">
        <f t="shared" si="57"/>
        <v>0</v>
      </c>
      <c r="G239" s="269"/>
      <c r="H239" s="269">
        <f t="shared" si="58"/>
        <v>0</v>
      </c>
      <c r="I239" s="269"/>
      <c r="J239" s="269">
        <f t="shared" si="59"/>
        <v>0</v>
      </c>
      <c r="K239" s="269">
        <f t="shared" si="60"/>
        <v>0</v>
      </c>
    </row>
    <row r="240" spans="1:11" ht="15.95" customHeight="1">
      <c r="A240" s="264">
        <v>196</v>
      </c>
      <c r="B240" s="281" t="s">
        <v>585</v>
      </c>
      <c r="C240" s="315">
        <v>1</v>
      </c>
      <c r="D240" s="331" t="s">
        <v>483</v>
      </c>
      <c r="E240" s="269"/>
      <c r="F240" s="269">
        <f t="shared" si="57"/>
        <v>0</v>
      </c>
      <c r="G240" s="269"/>
      <c r="H240" s="269">
        <f t="shared" si="58"/>
        <v>0</v>
      </c>
      <c r="I240" s="269"/>
      <c r="J240" s="269">
        <f t="shared" si="59"/>
        <v>0</v>
      </c>
      <c r="K240" s="269">
        <f t="shared" si="60"/>
        <v>0</v>
      </c>
    </row>
    <row r="241" spans="1:11" s="263" customFormat="1" ht="21" customHeight="1">
      <c r="A241" s="271" t="s">
        <v>665</v>
      </c>
      <c r="B241" s="272"/>
      <c r="C241" s="273"/>
      <c r="D241" s="272"/>
      <c r="E241" s="262"/>
      <c r="F241" s="262"/>
      <c r="G241" s="262"/>
      <c r="H241" s="262"/>
      <c r="I241" s="262"/>
      <c r="J241" s="262"/>
      <c r="K241" s="262"/>
    </row>
    <row r="242" spans="1:11" s="263" customFormat="1" ht="29.25" customHeight="1">
      <c r="A242" s="264">
        <v>204</v>
      </c>
      <c r="B242" s="335" t="s">
        <v>666</v>
      </c>
      <c r="C242" s="325">
        <v>72</v>
      </c>
      <c r="D242" s="344" t="s">
        <v>473</v>
      </c>
      <c r="E242" s="269"/>
      <c r="F242" s="269">
        <f t="shared" ref="F242:F253" si="61">E242*C242</f>
        <v>0</v>
      </c>
      <c r="G242" s="269"/>
      <c r="H242" s="269">
        <f t="shared" ref="H242:H253" si="62">G242*C242</f>
        <v>0</v>
      </c>
      <c r="I242" s="269"/>
      <c r="J242" s="269">
        <f t="shared" ref="J242:J253" si="63">I242*C242</f>
        <v>0</v>
      </c>
      <c r="K242" s="269">
        <f t="shared" ref="K242:K253" si="64">J242+H242+F242</f>
        <v>0</v>
      </c>
    </row>
    <row r="243" spans="1:11" s="263" customFormat="1" ht="29.25" customHeight="1">
      <c r="A243" s="264">
        <v>205</v>
      </c>
      <c r="B243" s="335" t="s">
        <v>667</v>
      </c>
      <c r="C243" s="325">
        <v>232</v>
      </c>
      <c r="D243" s="344" t="s">
        <v>473</v>
      </c>
      <c r="E243" s="269"/>
      <c r="F243" s="269">
        <f t="shared" si="61"/>
        <v>0</v>
      </c>
      <c r="G243" s="269"/>
      <c r="H243" s="269">
        <f t="shared" si="62"/>
        <v>0</v>
      </c>
      <c r="I243" s="269"/>
      <c r="J243" s="269">
        <f t="shared" si="63"/>
        <v>0</v>
      </c>
      <c r="K243" s="269">
        <f t="shared" si="64"/>
        <v>0</v>
      </c>
    </row>
    <row r="244" spans="1:11" s="263" customFormat="1" ht="33" customHeight="1">
      <c r="A244" s="264">
        <v>206</v>
      </c>
      <c r="B244" s="335" t="s">
        <v>668</v>
      </c>
      <c r="C244" s="325">
        <v>23</v>
      </c>
      <c r="D244" s="344" t="s">
        <v>473</v>
      </c>
      <c r="E244" s="269"/>
      <c r="F244" s="269">
        <f t="shared" si="61"/>
        <v>0</v>
      </c>
      <c r="G244" s="269"/>
      <c r="H244" s="269">
        <f t="shared" si="62"/>
        <v>0</v>
      </c>
      <c r="I244" s="269"/>
      <c r="J244" s="269">
        <f t="shared" si="63"/>
        <v>0</v>
      </c>
      <c r="K244" s="269">
        <f t="shared" si="64"/>
        <v>0</v>
      </c>
    </row>
    <row r="245" spans="1:11" s="263" customFormat="1" ht="17.25" customHeight="1">
      <c r="A245" s="264">
        <v>207</v>
      </c>
      <c r="B245" s="345" t="s">
        <v>669</v>
      </c>
      <c r="C245" s="325">
        <v>180</v>
      </c>
      <c r="D245" s="344" t="s">
        <v>473</v>
      </c>
      <c r="E245" s="269"/>
      <c r="F245" s="269">
        <f t="shared" si="61"/>
        <v>0</v>
      </c>
      <c r="G245" s="269"/>
      <c r="H245" s="269">
        <f t="shared" si="62"/>
        <v>0</v>
      </c>
      <c r="I245" s="269"/>
      <c r="J245" s="269">
        <f t="shared" si="63"/>
        <v>0</v>
      </c>
      <c r="K245" s="269">
        <f t="shared" si="64"/>
        <v>0</v>
      </c>
    </row>
    <row r="246" spans="1:11" s="263" customFormat="1" ht="28.5" customHeight="1">
      <c r="A246" s="264">
        <v>208</v>
      </c>
      <c r="B246" s="335" t="s">
        <v>670</v>
      </c>
      <c r="C246" s="325">
        <v>42</v>
      </c>
      <c r="D246" s="344" t="s">
        <v>473</v>
      </c>
      <c r="E246" s="269"/>
      <c r="F246" s="269">
        <f t="shared" si="61"/>
        <v>0</v>
      </c>
      <c r="G246" s="269"/>
      <c r="H246" s="269">
        <f t="shared" si="62"/>
        <v>0</v>
      </c>
      <c r="I246" s="269"/>
      <c r="J246" s="269">
        <f t="shared" si="63"/>
        <v>0</v>
      </c>
      <c r="K246" s="269">
        <f t="shared" si="64"/>
        <v>0</v>
      </c>
    </row>
    <row r="247" spans="1:11" s="263" customFormat="1" ht="17.25" customHeight="1">
      <c r="A247" s="264">
        <v>209</v>
      </c>
      <c r="B247" s="335" t="s">
        <v>671</v>
      </c>
      <c r="C247" s="325">
        <v>380</v>
      </c>
      <c r="D247" s="344" t="s">
        <v>473</v>
      </c>
      <c r="E247" s="269"/>
      <c r="F247" s="269">
        <f t="shared" si="61"/>
        <v>0</v>
      </c>
      <c r="G247" s="269"/>
      <c r="H247" s="269">
        <f t="shared" si="62"/>
        <v>0</v>
      </c>
      <c r="I247" s="269"/>
      <c r="J247" s="269">
        <f t="shared" si="63"/>
        <v>0</v>
      </c>
      <c r="K247" s="269">
        <f t="shared" si="64"/>
        <v>0</v>
      </c>
    </row>
    <row r="248" spans="1:11" s="263" customFormat="1" ht="17.25" customHeight="1">
      <c r="A248" s="264">
        <v>210</v>
      </c>
      <c r="B248" s="335" t="s">
        <v>672</v>
      </c>
      <c r="C248" s="325">
        <v>24</v>
      </c>
      <c r="D248" s="344" t="s">
        <v>473</v>
      </c>
      <c r="E248" s="269"/>
      <c r="F248" s="269">
        <f t="shared" si="61"/>
        <v>0</v>
      </c>
      <c r="G248" s="269"/>
      <c r="H248" s="269">
        <f t="shared" si="62"/>
        <v>0</v>
      </c>
      <c r="I248" s="269"/>
      <c r="J248" s="269">
        <f t="shared" si="63"/>
        <v>0</v>
      </c>
      <c r="K248" s="269">
        <f t="shared" si="64"/>
        <v>0</v>
      </c>
    </row>
    <row r="249" spans="1:11" s="263" customFormat="1" ht="17.25" customHeight="1">
      <c r="A249" s="264">
        <v>211</v>
      </c>
      <c r="B249" s="335" t="s">
        <v>673</v>
      </c>
      <c r="C249" s="325">
        <v>234</v>
      </c>
      <c r="D249" s="344" t="s">
        <v>473</v>
      </c>
      <c r="E249" s="269"/>
      <c r="F249" s="269">
        <f t="shared" si="61"/>
        <v>0</v>
      </c>
      <c r="G249" s="269"/>
      <c r="H249" s="269">
        <f t="shared" si="62"/>
        <v>0</v>
      </c>
      <c r="I249" s="269"/>
      <c r="J249" s="269">
        <f t="shared" si="63"/>
        <v>0</v>
      </c>
      <c r="K249" s="269">
        <f t="shared" si="64"/>
        <v>0</v>
      </c>
    </row>
    <row r="250" spans="1:11" s="263" customFormat="1" ht="17.25" customHeight="1">
      <c r="A250" s="264">
        <v>212</v>
      </c>
      <c r="B250" s="335" t="s">
        <v>674</v>
      </c>
      <c r="C250" s="325">
        <v>28</v>
      </c>
      <c r="D250" s="344" t="s">
        <v>473</v>
      </c>
      <c r="E250" s="269"/>
      <c r="F250" s="269">
        <f t="shared" si="61"/>
        <v>0</v>
      </c>
      <c r="G250" s="269"/>
      <c r="H250" s="269">
        <f t="shared" si="62"/>
        <v>0</v>
      </c>
      <c r="I250" s="269"/>
      <c r="J250" s="269">
        <f t="shared" si="63"/>
        <v>0</v>
      </c>
      <c r="K250" s="269">
        <f t="shared" si="64"/>
        <v>0</v>
      </c>
    </row>
    <row r="251" spans="1:11" s="263" customFormat="1" ht="33" customHeight="1">
      <c r="A251" s="264">
        <v>213</v>
      </c>
      <c r="B251" s="335" t="s">
        <v>675</v>
      </c>
      <c r="C251" s="325">
        <v>41</v>
      </c>
      <c r="D251" s="344" t="s">
        <v>473</v>
      </c>
      <c r="E251" s="269"/>
      <c r="F251" s="269">
        <f t="shared" si="61"/>
        <v>0</v>
      </c>
      <c r="G251" s="269"/>
      <c r="H251" s="269">
        <f t="shared" si="62"/>
        <v>0</v>
      </c>
      <c r="I251" s="269"/>
      <c r="J251" s="269">
        <f t="shared" si="63"/>
        <v>0</v>
      </c>
      <c r="K251" s="269">
        <f t="shared" si="64"/>
        <v>0</v>
      </c>
    </row>
    <row r="252" spans="1:11" s="263" customFormat="1" ht="27.75" customHeight="1">
      <c r="A252" s="264">
        <v>214</v>
      </c>
      <c r="B252" s="346" t="s">
        <v>676</v>
      </c>
      <c r="C252" s="325">
        <v>54</v>
      </c>
      <c r="D252" s="344" t="s">
        <v>473</v>
      </c>
      <c r="E252" s="269"/>
      <c r="F252" s="269">
        <f t="shared" si="61"/>
        <v>0</v>
      </c>
      <c r="G252" s="269"/>
      <c r="H252" s="269">
        <f t="shared" si="62"/>
        <v>0</v>
      </c>
      <c r="I252" s="269"/>
      <c r="J252" s="269">
        <f t="shared" si="63"/>
        <v>0</v>
      </c>
      <c r="K252" s="269">
        <f t="shared" si="64"/>
        <v>0</v>
      </c>
    </row>
    <row r="253" spans="1:11" ht="15">
      <c r="A253" s="264">
        <v>214</v>
      </c>
      <c r="B253" s="347" t="s">
        <v>482</v>
      </c>
      <c r="C253" s="278">
        <v>1</v>
      </c>
      <c r="D253" s="348" t="s">
        <v>483</v>
      </c>
      <c r="E253" s="269"/>
      <c r="F253" s="269">
        <f t="shared" si="61"/>
        <v>0</v>
      </c>
      <c r="G253" s="269"/>
      <c r="H253" s="269">
        <f t="shared" si="62"/>
        <v>0</v>
      </c>
      <c r="I253" s="269"/>
      <c r="J253" s="269">
        <f t="shared" si="63"/>
        <v>0</v>
      </c>
      <c r="K253" s="269">
        <f t="shared" si="64"/>
        <v>0</v>
      </c>
    </row>
    <row r="254" spans="1:11" s="263" customFormat="1" ht="23.25" customHeight="1">
      <c r="A254" s="271" t="s">
        <v>677</v>
      </c>
      <c r="B254" s="272"/>
      <c r="C254" s="273"/>
      <c r="D254" s="272"/>
      <c r="E254" s="262"/>
      <c r="F254" s="262"/>
      <c r="G254" s="262"/>
      <c r="H254" s="262"/>
      <c r="I254" s="262"/>
      <c r="J254" s="262"/>
      <c r="K254" s="262"/>
    </row>
    <row r="255" spans="1:11" s="263" customFormat="1" ht="15.95" customHeight="1">
      <c r="A255" s="264">
        <v>215</v>
      </c>
      <c r="B255" s="335" t="s">
        <v>678</v>
      </c>
      <c r="C255" s="325">
        <v>54</v>
      </c>
      <c r="D255" s="344" t="s">
        <v>473</v>
      </c>
      <c r="E255" s="269"/>
      <c r="F255" s="269">
        <f t="shared" ref="F255:F284" si="65">E255*C255</f>
        <v>0</v>
      </c>
      <c r="G255" s="269"/>
      <c r="H255" s="269">
        <f t="shared" ref="H255:H264" si="66">G255*C255</f>
        <v>0</v>
      </c>
      <c r="I255" s="269"/>
      <c r="J255" s="269">
        <f t="shared" ref="J255:J264" si="67">I255*C255</f>
        <v>0</v>
      </c>
      <c r="K255" s="269">
        <f t="shared" ref="K255:K264" si="68">J255+H255+F255</f>
        <v>0</v>
      </c>
    </row>
    <row r="256" spans="1:11" s="263" customFormat="1" ht="15.95" customHeight="1">
      <c r="A256" s="264">
        <v>216</v>
      </c>
      <c r="B256" s="335" t="s">
        <v>679</v>
      </c>
      <c r="C256" s="325">
        <v>308</v>
      </c>
      <c r="D256" s="344" t="s">
        <v>473</v>
      </c>
      <c r="E256" s="269"/>
      <c r="F256" s="269">
        <f t="shared" si="65"/>
        <v>0</v>
      </c>
      <c r="G256" s="269"/>
      <c r="H256" s="269">
        <f t="shared" si="66"/>
        <v>0</v>
      </c>
      <c r="I256" s="269"/>
      <c r="J256" s="269">
        <f t="shared" si="67"/>
        <v>0</v>
      </c>
      <c r="K256" s="269">
        <f t="shared" si="68"/>
        <v>0</v>
      </c>
    </row>
    <row r="257" spans="1:11" s="263" customFormat="1" ht="15.95" customHeight="1">
      <c r="A257" s="264">
        <v>217</v>
      </c>
      <c r="B257" s="335" t="s">
        <v>680</v>
      </c>
      <c r="C257" s="325">
        <v>8</v>
      </c>
      <c r="D257" s="344" t="s">
        <v>473</v>
      </c>
      <c r="E257" s="269"/>
      <c r="F257" s="269">
        <f t="shared" si="65"/>
        <v>0</v>
      </c>
      <c r="G257" s="269"/>
      <c r="H257" s="269">
        <f t="shared" si="66"/>
        <v>0</v>
      </c>
      <c r="I257" s="269"/>
      <c r="J257" s="269">
        <f t="shared" si="67"/>
        <v>0</v>
      </c>
      <c r="K257" s="269">
        <f t="shared" si="68"/>
        <v>0</v>
      </c>
    </row>
    <row r="258" spans="1:11" s="263" customFormat="1" ht="15.95" customHeight="1">
      <c r="A258" s="264">
        <v>218</v>
      </c>
      <c r="B258" s="335" t="s">
        <v>681</v>
      </c>
      <c r="C258" s="325">
        <v>4</v>
      </c>
      <c r="D258" s="344" t="s">
        <v>473</v>
      </c>
      <c r="E258" s="269"/>
      <c r="F258" s="269">
        <f t="shared" si="65"/>
        <v>0</v>
      </c>
      <c r="G258" s="269"/>
      <c r="H258" s="269">
        <f t="shared" si="66"/>
        <v>0</v>
      </c>
      <c r="I258" s="269"/>
      <c r="J258" s="269">
        <f t="shared" si="67"/>
        <v>0</v>
      </c>
      <c r="K258" s="269">
        <f t="shared" si="68"/>
        <v>0</v>
      </c>
    </row>
    <row r="259" spans="1:11" s="263" customFormat="1" ht="15.95" customHeight="1">
      <c r="A259" s="264">
        <v>219</v>
      </c>
      <c r="B259" s="335" t="s">
        <v>682</v>
      </c>
      <c r="C259" s="325">
        <v>120</v>
      </c>
      <c r="D259" s="344" t="s">
        <v>473</v>
      </c>
      <c r="E259" s="269"/>
      <c r="F259" s="269">
        <f t="shared" si="65"/>
        <v>0</v>
      </c>
      <c r="G259" s="269"/>
      <c r="H259" s="269">
        <f t="shared" si="66"/>
        <v>0</v>
      </c>
      <c r="I259" s="269"/>
      <c r="J259" s="269">
        <f t="shared" si="67"/>
        <v>0</v>
      </c>
      <c r="K259" s="269">
        <f t="shared" si="68"/>
        <v>0</v>
      </c>
    </row>
    <row r="260" spans="1:11" s="263" customFormat="1" ht="15.95" customHeight="1">
      <c r="A260" s="264">
        <v>220</v>
      </c>
      <c r="B260" s="335" t="s">
        <v>683</v>
      </c>
      <c r="C260" s="325">
        <v>106</v>
      </c>
      <c r="D260" s="344" t="s">
        <v>473</v>
      </c>
      <c r="E260" s="269"/>
      <c r="F260" s="269">
        <f t="shared" si="65"/>
        <v>0</v>
      </c>
      <c r="G260" s="269"/>
      <c r="H260" s="269">
        <f t="shared" si="66"/>
        <v>0</v>
      </c>
      <c r="I260" s="269"/>
      <c r="J260" s="269">
        <f t="shared" si="67"/>
        <v>0</v>
      </c>
      <c r="K260" s="269">
        <f t="shared" si="68"/>
        <v>0</v>
      </c>
    </row>
    <row r="261" spans="1:11" s="263" customFormat="1" ht="15.95" customHeight="1">
      <c r="A261" s="264">
        <v>221</v>
      </c>
      <c r="B261" s="335" t="s">
        <v>684</v>
      </c>
      <c r="C261" s="325">
        <v>1210</v>
      </c>
      <c r="D261" s="344" t="s">
        <v>473</v>
      </c>
      <c r="E261" s="269"/>
      <c r="F261" s="269">
        <f t="shared" si="65"/>
        <v>0</v>
      </c>
      <c r="G261" s="269"/>
      <c r="H261" s="269">
        <f t="shared" si="66"/>
        <v>0</v>
      </c>
      <c r="I261" s="269"/>
      <c r="J261" s="269">
        <f t="shared" si="67"/>
        <v>0</v>
      </c>
      <c r="K261" s="269">
        <f t="shared" si="68"/>
        <v>0</v>
      </c>
    </row>
    <row r="262" spans="1:11" s="263" customFormat="1" ht="15.95" customHeight="1">
      <c r="A262" s="264">
        <v>222</v>
      </c>
      <c r="B262" s="335" t="s">
        <v>685</v>
      </c>
      <c r="C262" s="325">
        <v>12</v>
      </c>
      <c r="D262" s="344" t="s">
        <v>473</v>
      </c>
      <c r="E262" s="269"/>
      <c r="F262" s="269">
        <f t="shared" si="65"/>
        <v>0</v>
      </c>
      <c r="G262" s="269"/>
      <c r="H262" s="269">
        <f t="shared" si="66"/>
        <v>0</v>
      </c>
      <c r="I262" s="269"/>
      <c r="J262" s="269">
        <f t="shared" si="67"/>
        <v>0</v>
      </c>
      <c r="K262" s="269">
        <f t="shared" si="68"/>
        <v>0</v>
      </c>
    </row>
    <row r="263" spans="1:11" ht="15.95" customHeight="1">
      <c r="A263" s="264">
        <v>223</v>
      </c>
      <c r="B263" s="335" t="s">
        <v>686</v>
      </c>
      <c r="C263" s="325">
        <v>7</v>
      </c>
      <c r="D263" s="344" t="s">
        <v>473</v>
      </c>
      <c r="E263" s="269"/>
      <c r="F263" s="269">
        <f t="shared" si="65"/>
        <v>0</v>
      </c>
      <c r="G263" s="269"/>
      <c r="H263" s="269">
        <f t="shared" si="66"/>
        <v>0</v>
      </c>
      <c r="I263" s="269"/>
      <c r="J263" s="269">
        <f t="shared" si="67"/>
        <v>0</v>
      </c>
      <c r="K263" s="269">
        <f t="shared" si="68"/>
        <v>0</v>
      </c>
    </row>
    <row r="264" spans="1:11" ht="15">
      <c r="A264" s="264">
        <v>223</v>
      </c>
      <c r="B264" s="335" t="s">
        <v>482</v>
      </c>
      <c r="C264" s="325">
        <v>1</v>
      </c>
      <c r="D264" s="344" t="s">
        <v>483</v>
      </c>
      <c r="E264" s="269"/>
      <c r="F264" s="269">
        <f t="shared" si="65"/>
        <v>0</v>
      </c>
      <c r="G264" s="269"/>
      <c r="H264" s="269">
        <f t="shared" si="66"/>
        <v>0</v>
      </c>
      <c r="I264" s="269"/>
      <c r="J264" s="269">
        <f t="shared" si="67"/>
        <v>0</v>
      </c>
      <c r="K264" s="269">
        <f t="shared" si="68"/>
        <v>0</v>
      </c>
    </row>
    <row r="265" spans="1:11" s="263" customFormat="1" ht="23.25" customHeight="1">
      <c r="A265" s="271" t="s">
        <v>511</v>
      </c>
      <c r="B265" s="272"/>
      <c r="C265" s="273"/>
      <c r="D265" s="272"/>
      <c r="E265" s="262"/>
      <c r="F265" s="262"/>
      <c r="G265" s="262"/>
      <c r="H265" s="262"/>
      <c r="I265" s="262"/>
      <c r="J265" s="262"/>
      <c r="K265" s="262"/>
    </row>
    <row r="266" spans="1:11" s="263" customFormat="1" ht="15.95" customHeight="1">
      <c r="A266" s="349">
        <v>224</v>
      </c>
      <c r="B266" s="324" t="s">
        <v>512</v>
      </c>
      <c r="C266" s="350">
        <v>1811</v>
      </c>
      <c r="D266" s="351" t="s">
        <v>473</v>
      </c>
      <c r="E266" s="269"/>
      <c r="F266" s="269">
        <f t="shared" si="65"/>
        <v>0</v>
      </c>
      <c r="G266" s="269"/>
      <c r="H266" s="269">
        <f t="shared" ref="H266:H284" si="69">G266*C266</f>
        <v>0</v>
      </c>
      <c r="I266" s="269"/>
      <c r="J266" s="269">
        <f t="shared" ref="J266:J284" si="70">I266*C266</f>
        <v>0</v>
      </c>
      <c r="K266" s="269">
        <f t="shared" ref="K266:K284" si="71">J266+H266+F266</f>
        <v>0</v>
      </c>
    </row>
    <row r="267" spans="1:11" ht="15.95" customHeight="1">
      <c r="A267" s="280">
        <v>225</v>
      </c>
      <c r="B267" s="340" t="s">
        <v>687</v>
      </c>
      <c r="C267" s="352">
        <v>2000</v>
      </c>
      <c r="D267" s="283" t="s">
        <v>467</v>
      </c>
      <c r="E267" s="269"/>
      <c r="F267" s="269">
        <f t="shared" si="65"/>
        <v>0</v>
      </c>
      <c r="G267" s="269"/>
      <c r="H267" s="269">
        <f t="shared" si="69"/>
        <v>0</v>
      </c>
      <c r="I267" s="269"/>
      <c r="J267" s="269">
        <f t="shared" si="70"/>
        <v>0</v>
      </c>
      <c r="K267" s="269">
        <f t="shared" si="71"/>
        <v>0</v>
      </c>
    </row>
    <row r="268" spans="1:11" ht="15.95" customHeight="1">
      <c r="A268" s="349">
        <v>226</v>
      </c>
      <c r="B268" s="340" t="s">
        <v>688</v>
      </c>
      <c r="C268" s="352">
        <v>2500</v>
      </c>
      <c r="D268" s="283" t="s">
        <v>467</v>
      </c>
      <c r="E268" s="269"/>
      <c r="F268" s="269">
        <f t="shared" si="65"/>
        <v>0</v>
      </c>
      <c r="G268" s="269"/>
      <c r="H268" s="269">
        <f t="shared" si="69"/>
        <v>0</v>
      </c>
      <c r="I268" s="269"/>
      <c r="J268" s="269">
        <f t="shared" si="70"/>
        <v>0</v>
      </c>
      <c r="K268" s="269">
        <f t="shared" si="71"/>
        <v>0</v>
      </c>
    </row>
    <row r="269" spans="1:11" ht="15.95" customHeight="1">
      <c r="A269" s="280">
        <v>227</v>
      </c>
      <c r="B269" s="340" t="s">
        <v>689</v>
      </c>
      <c r="C269" s="352">
        <v>1500</v>
      </c>
      <c r="D269" s="283" t="s">
        <v>467</v>
      </c>
      <c r="E269" s="269"/>
      <c r="F269" s="269">
        <f t="shared" si="65"/>
        <v>0</v>
      </c>
      <c r="G269" s="269"/>
      <c r="H269" s="269">
        <f t="shared" si="69"/>
        <v>0</v>
      </c>
      <c r="I269" s="269"/>
      <c r="J269" s="269">
        <f t="shared" si="70"/>
        <v>0</v>
      </c>
      <c r="K269" s="269">
        <f t="shared" si="71"/>
        <v>0</v>
      </c>
    </row>
    <row r="270" spans="1:11" ht="15.95" customHeight="1">
      <c r="A270" s="349">
        <v>228</v>
      </c>
      <c r="B270" s="340" t="s">
        <v>690</v>
      </c>
      <c r="C270" s="352">
        <v>1000</v>
      </c>
      <c r="D270" s="283" t="s">
        <v>467</v>
      </c>
      <c r="E270" s="269"/>
      <c r="F270" s="269">
        <f t="shared" si="65"/>
        <v>0</v>
      </c>
      <c r="G270" s="269"/>
      <c r="H270" s="269">
        <f t="shared" si="69"/>
        <v>0</v>
      </c>
      <c r="I270" s="269"/>
      <c r="J270" s="269">
        <f t="shared" si="70"/>
        <v>0</v>
      </c>
      <c r="K270" s="269">
        <f t="shared" si="71"/>
        <v>0</v>
      </c>
    </row>
    <row r="271" spans="1:11" ht="15.95" customHeight="1">
      <c r="A271" s="280">
        <v>229</v>
      </c>
      <c r="B271" s="340" t="s">
        <v>691</v>
      </c>
      <c r="C271" s="352">
        <v>1000</v>
      </c>
      <c r="D271" s="283" t="s">
        <v>467</v>
      </c>
      <c r="E271" s="269"/>
      <c r="F271" s="269">
        <f t="shared" si="65"/>
        <v>0</v>
      </c>
      <c r="G271" s="269"/>
      <c r="H271" s="269">
        <f t="shared" si="69"/>
        <v>0</v>
      </c>
      <c r="I271" s="269"/>
      <c r="J271" s="269">
        <f t="shared" si="70"/>
        <v>0</v>
      </c>
      <c r="K271" s="269">
        <f t="shared" si="71"/>
        <v>0</v>
      </c>
    </row>
    <row r="272" spans="1:11" s="263" customFormat="1" ht="15.95" customHeight="1">
      <c r="A272" s="349">
        <v>230</v>
      </c>
      <c r="B272" s="334" t="s">
        <v>692</v>
      </c>
      <c r="C272" s="353">
        <v>2</v>
      </c>
      <c r="D272" s="351" t="s">
        <v>473</v>
      </c>
      <c r="E272" s="269"/>
      <c r="F272" s="269">
        <f t="shared" si="65"/>
        <v>0</v>
      </c>
      <c r="G272" s="269"/>
      <c r="H272" s="269">
        <f t="shared" si="69"/>
        <v>0</v>
      </c>
      <c r="I272" s="269"/>
      <c r="J272" s="269">
        <f t="shared" si="70"/>
        <v>0</v>
      </c>
      <c r="K272" s="269">
        <f t="shared" si="71"/>
        <v>0</v>
      </c>
    </row>
    <row r="273" spans="1:11" s="263" customFormat="1" ht="15.95" customHeight="1">
      <c r="A273" s="280">
        <v>231</v>
      </c>
      <c r="B273" s="334" t="s">
        <v>693</v>
      </c>
      <c r="C273" s="353">
        <v>2</v>
      </c>
      <c r="D273" s="351" t="s">
        <v>473</v>
      </c>
      <c r="E273" s="269"/>
      <c r="F273" s="269">
        <f t="shared" si="65"/>
        <v>0</v>
      </c>
      <c r="G273" s="269"/>
      <c r="H273" s="269">
        <f t="shared" si="69"/>
        <v>0</v>
      </c>
      <c r="I273" s="269"/>
      <c r="J273" s="269">
        <f t="shared" si="70"/>
        <v>0</v>
      </c>
      <c r="K273" s="269">
        <f t="shared" si="71"/>
        <v>0</v>
      </c>
    </row>
    <row r="274" spans="1:11" s="263" customFormat="1" ht="15.95" customHeight="1">
      <c r="A274" s="349">
        <v>232</v>
      </c>
      <c r="B274" s="324" t="s">
        <v>694</v>
      </c>
      <c r="C274" s="353">
        <v>900</v>
      </c>
      <c r="D274" s="351" t="s">
        <v>473</v>
      </c>
      <c r="E274" s="269"/>
      <c r="F274" s="269">
        <f t="shared" si="65"/>
        <v>0</v>
      </c>
      <c r="G274" s="269"/>
      <c r="H274" s="269">
        <f t="shared" si="69"/>
        <v>0</v>
      </c>
      <c r="I274" s="269"/>
      <c r="J274" s="269">
        <f t="shared" si="70"/>
        <v>0</v>
      </c>
      <c r="K274" s="269">
        <f t="shared" si="71"/>
        <v>0</v>
      </c>
    </row>
    <row r="275" spans="1:11" ht="18" customHeight="1">
      <c r="A275" s="280">
        <v>233</v>
      </c>
      <c r="B275" s="281" t="s">
        <v>695</v>
      </c>
      <c r="C275" s="282">
        <v>100</v>
      </c>
      <c r="D275" s="283" t="s">
        <v>467</v>
      </c>
      <c r="E275" s="269"/>
      <c r="F275" s="269">
        <f t="shared" si="65"/>
        <v>0</v>
      </c>
      <c r="G275" s="269"/>
      <c r="H275" s="269">
        <f t="shared" si="69"/>
        <v>0</v>
      </c>
      <c r="I275" s="269"/>
      <c r="J275" s="269">
        <f t="shared" si="70"/>
        <v>0</v>
      </c>
      <c r="K275" s="269">
        <f t="shared" si="71"/>
        <v>0</v>
      </c>
    </row>
    <row r="276" spans="1:11" ht="18" customHeight="1">
      <c r="A276" s="349">
        <v>234</v>
      </c>
      <c r="B276" s="281" t="s">
        <v>696</v>
      </c>
      <c r="C276" s="282">
        <v>250</v>
      </c>
      <c r="D276" s="283" t="s">
        <v>467</v>
      </c>
      <c r="E276" s="269"/>
      <c r="F276" s="269">
        <f t="shared" si="65"/>
        <v>0</v>
      </c>
      <c r="G276" s="269"/>
      <c r="H276" s="269">
        <f t="shared" si="69"/>
        <v>0</v>
      </c>
      <c r="I276" s="269"/>
      <c r="J276" s="269">
        <f t="shared" si="70"/>
        <v>0</v>
      </c>
      <c r="K276" s="269">
        <f t="shared" si="71"/>
        <v>0</v>
      </c>
    </row>
    <row r="277" spans="1:11" ht="18" customHeight="1">
      <c r="A277" s="280">
        <v>235</v>
      </c>
      <c r="B277" s="281" t="s">
        <v>697</v>
      </c>
      <c r="C277" s="282">
        <v>150</v>
      </c>
      <c r="D277" s="283" t="s">
        <v>467</v>
      </c>
      <c r="E277" s="269"/>
      <c r="F277" s="269">
        <f t="shared" si="65"/>
        <v>0</v>
      </c>
      <c r="G277" s="269"/>
      <c r="H277" s="269">
        <f t="shared" si="69"/>
        <v>0</v>
      </c>
      <c r="I277" s="269"/>
      <c r="J277" s="269">
        <f t="shared" si="70"/>
        <v>0</v>
      </c>
      <c r="K277" s="269">
        <f t="shared" si="71"/>
        <v>0</v>
      </c>
    </row>
    <row r="278" spans="1:11" s="263" customFormat="1" ht="18" customHeight="1">
      <c r="A278" s="349">
        <v>236</v>
      </c>
      <c r="B278" s="281" t="s">
        <v>698</v>
      </c>
      <c r="C278" s="282">
        <v>50</v>
      </c>
      <c r="D278" s="283" t="s">
        <v>467</v>
      </c>
      <c r="E278" s="269"/>
      <c r="F278" s="269">
        <f t="shared" si="65"/>
        <v>0</v>
      </c>
      <c r="G278" s="269"/>
      <c r="H278" s="269">
        <f t="shared" si="69"/>
        <v>0</v>
      </c>
      <c r="I278" s="269"/>
      <c r="J278" s="269">
        <f t="shared" si="70"/>
        <v>0</v>
      </c>
      <c r="K278" s="269">
        <f t="shared" si="71"/>
        <v>0</v>
      </c>
    </row>
    <row r="279" spans="1:11" s="263" customFormat="1" ht="18" customHeight="1">
      <c r="A279" s="280">
        <v>237</v>
      </c>
      <c r="B279" s="281" t="s">
        <v>699</v>
      </c>
      <c r="C279" s="282">
        <v>50</v>
      </c>
      <c r="D279" s="283" t="s">
        <v>467</v>
      </c>
      <c r="E279" s="269"/>
      <c r="F279" s="269">
        <f t="shared" si="65"/>
        <v>0</v>
      </c>
      <c r="G279" s="269"/>
      <c r="H279" s="269">
        <f t="shared" si="69"/>
        <v>0</v>
      </c>
      <c r="I279" s="269"/>
      <c r="J279" s="269">
        <f t="shared" si="70"/>
        <v>0</v>
      </c>
      <c r="K279" s="269">
        <f t="shared" si="71"/>
        <v>0</v>
      </c>
    </row>
    <row r="280" spans="1:11" s="263" customFormat="1" ht="18" customHeight="1">
      <c r="A280" s="349">
        <v>238</v>
      </c>
      <c r="B280" s="281" t="s">
        <v>700</v>
      </c>
      <c r="C280" s="282">
        <v>50</v>
      </c>
      <c r="D280" s="283" t="s">
        <v>467</v>
      </c>
      <c r="E280" s="269"/>
      <c r="F280" s="269">
        <f t="shared" si="65"/>
        <v>0</v>
      </c>
      <c r="G280" s="269"/>
      <c r="H280" s="269">
        <f t="shared" si="69"/>
        <v>0</v>
      </c>
      <c r="I280" s="269"/>
      <c r="J280" s="269">
        <f t="shared" si="70"/>
        <v>0</v>
      </c>
      <c r="K280" s="269">
        <f t="shared" si="71"/>
        <v>0</v>
      </c>
    </row>
    <row r="281" spans="1:11" s="263" customFormat="1" ht="18" customHeight="1">
      <c r="A281" s="280">
        <v>239</v>
      </c>
      <c r="B281" s="281" t="s">
        <v>701</v>
      </c>
      <c r="C281" s="282">
        <v>50</v>
      </c>
      <c r="D281" s="283" t="s">
        <v>467</v>
      </c>
      <c r="E281" s="269"/>
      <c r="F281" s="269">
        <f t="shared" si="65"/>
        <v>0</v>
      </c>
      <c r="G281" s="269"/>
      <c r="H281" s="269">
        <f t="shared" si="69"/>
        <v>0</v>
      </c>
      <c r="I281" s="269"/>
      <c r="J281" s="269">
        <f t="shared" si="70"/>
        <v>0</v>
      </c>
      <c r="K281" s="269">
        <f t="shared" si="71"/>
        <v>0</v>
      </c>
    </row>
    <row r="282" spans="1:11" ht="18" customHeight="1">
      <c r="A282" s="349">
        <v>240</v>
      </c>
      <c r="B282" s="281" t="s">
        <v>702</v>
      </c>
      <c r="C282" s="282">
        <v>50</v>
      </c>
      <c r="D282" s="283" t="s">
        <v>467</v>
      </c>
      <c r="E282" s="269"/>
      <c r="F282" s="269">
        <f t="shared" si="65"/>
        <v>0</v>
      </c>
      <c r="G282" s="269"/>
      <c r="H282" s="269">
        <f t="shared" si="69"/>
        <v>0</v>
      </c>
      <c r="I282" s="269"/>
      <c r="J282" s="269">
        <f t="shared" si="70"/>
        <v>0</v>
      </c>
      <c r="K282" s="269">
        <f t="shared" si="71"/>
        <v>0</v>
      </c>
    </row>
    <row r="283" spans="1:11" ht="18" customHeight="1">
      <c r="A283" s="280">
        <v>241</v>
      </c>
      <c r="B283" s="281" t="s">
        <v>703</v>
      </c>
      <c r="C283" s="282">
        <v>20</v>
      </c>
      <c r="D283" s="283" t="s">
        <v>467</v>
      </c>
      <c r="E283" s="269"/>
      <c r="F283" s="269">
        <f t="shared" si="65"/>
        <v>0</v>
      </c>
      <c r="G283" s="269"/>
      <c r="H283" s="269">
        <f t="shared" si="69"/>
        <v>0</v>
      </c>
      <c r="I283" s="269"/>
      <c r="J283" s="269">
        <f t="shared" si="70"/>
        <v>0</v>
      </c>
      <c r="K283" s="269">
        <f t="shared" si="71"/>
        <v>0</v>
      </c>
    </row>
    <row r="284" spans="1:11" ht="27.75" customHeight="1">
      <c r="A284" s="349">
        <v>242</v>
      </c>
      <c r="B284" s="281" t="s">
        <v>704</v>
      </c>
      <c r="C284" s="330">
        <v>1</v>
      </c>
      <c r="D284" s="316" t="s">
        <v>470</v>
      </c>
      <c r="E284" s="269"/>
      <c r="F284" s="269">
        <f t="shared" si="65"/>
        <v>0</v>
      </c>
      <c r="G284" s="269"/>
      <c r="H284" s="269">
        <f t="shared" si="69"/>
        <v>0</v>
      </c>
      <c r="I284" s="269"/>
      <c r="J284" s="269">
        <f t="shared" si="70"/>
        <v>0</v>
      </c>
      <c r="K284" s="269">
        <f t="shared" si="71"/>
        <v>0</v>
      </c>
    </row>
    <row r="285" spans="1:11" s="263" customFormat="1" ht="23.25" customHeight="1">
      <c r="A285" s="271" t="s">
        <v>705</v>
      </c>
      <c r="B285" s="272"/>
      <c r="C285" s="273"/>
      <c r="D285" s="272"/>
      <c r="E285" s="262"/>
      <c r="F285" s="262"/>
      <c r="G285" s="262"/>
      <c r="H285" s="262"/>
      <c r="I285" s="262"/>
      <c r="J285" s="262"/>
      <c r="K285" s="262"/>
    </row>
    <row r="286" spans="1:11" s="263" customFormat="1" ht="15.95" customHeight="1">
      <c r="A286" s="343">
        <v>243</v>
      </c>
      <c r="B286" s="354" t="s">
        <v>706</v>
      </c>
      <c r="C286" s="325">
        <v>50</v>
      </c>
      <c r="D286" s="344" t="s">
        <v>467</v>
      </c>
      <c r="E286" s="269"/>
      <c r="F286" s="269">
        <f t="shared" ref="F286:F290" si="72">E286*C286</f>
        <v>0</v>
      </c>
      <c r="G286" s="269"/>
      <c r="H286" s="269">
        <f t="shared" ref="H286:H290" si="73">G286*C286</f>
        <v>0</v>
      </c>
      <c r="I286" s="269"/>
      <c r="J286" s="269">
        <f t="shared" ref="J286:J290" si="74">I286*C286</f>
        <v>0</v>
      </c>
      <c r="K286" s="269">
        <f t="shared" ref="K286:K290" si="75">J286+H286+F286</f>
        <v>0</v>
      </c>
    </row>
    <row r="287" spans="1:11" s="263" customFormat="1" ht="15.95" customHeight="1">
      <c r="A287" s="343">
        <v>244</v>
      </c>
      <c r="B287" s="335" t="s">
        <v>707</v>
      </c>
      <c r="C287" s="325">
        <v>6</v>
      </c>
      <c r="D287" s="267" t="s">
        <v>473</v>
      </c>
      <c r="E287" s="269"/>
      <c r="F287" s="269">
        <f t="shared" si="72"/>
        <v>0</v>
      </c>
      <c r="G287" s="269"/>
      <c r="H287" s="269">
        <f t="shared" si="73"/>
        <v>0</v>
      </c>
      <c r="I287" s="269"/>
      <c r="J287" s="269">
        <f t="shared" si="74"/>
        <v>0</v>
      </c>
      <c r="K287" s="269">
        <f t="shared" si="75"/>
        <v>0</v>
      </c>
    </row>
    <row r="288" spans="1:11" s="263" customFormat="1" ht="15.95" customHeight="1">
      <c r="A288" s="343">
        <v>245</v>
      </c>
      <c r="B288" s="354" t="s">
        <v>708</v>
      </c>
      <c r="C288" s="325">
        <v>5</v>
      </c>
      <c r="D288" s="267" t="s">
        <v>473</v>
      </c>
      <c r="E288" s="269"/>
      <c r="F288" s="269">
        <f t="shared" si="72"/>
        <v>0</v>
      </c>
      <c r="G288" s="269"/>
      <c r="H288" s="269">
        <f t="shared" si="73"/>
        <v>0</v>
      </c>
      <c r="I288" s="269"/>
      <c r="J288" s="269">
        <f t="shared" si="74"/>
        <v>0</v>
      </c>
      <c r="K288" s="269">
        <f t="shared" si="75"/>
        <v>0</v>
      </c>
    </row>
    <row r="289" spans="1:11" s="263" customFormat="1" ht="15.95" customHeight="1">
      <c r="A289" s="343">
        <v>246</v>
      </c>
      <c r="B289" s="354" t="s">
        <v>709</v>
      </c>
      <c r="C289" s="325">
        <v>1</v>
      </c>
      <c r="D289" s="267" t="s">
        <v>473</v>
      </c>
      <c r="E289" s="269"/>
      <c r="F289" s="269">
        <f t="shared" si="72"/>
        <v>0</v>
      </c>
      <c r="G289" s="269"/>
      <c r="H289" s="269">
        <f t="shared" si="73"/>
        <v>0</v>
      </c>
      <c r="I289" s="269"/>
      <c r="J289" s="269">
        <f t="shared" si="74"/>
        <v>0</v>
      </c>
      <c r="K289" s="269">
        <f t="shared" si="75"/>
        <v>0</v>
      </c>
    </row>
    <row r="290" spans="1:11" ht="15">
      <c r="A290" s="343">
        <v>246</v>
      </c>
      <c r="B290" s="347" t="s">
        <v>482</v>
      </c>
      <c r="C290" s="278">
        <v>1</v>
      </c>
      <c r="D290" s="348" t="s">
        <v>483</v>
      </c>
      <c r="E290" s="269"/>
      <c r="F290" s="269">
        <f t="shared" si="72"/>
        <v>0</v>
      </c>
      <c r="G290" s="269"/>
      <c r="H290" s="269">
        <f t="shared" si="73"/>
        <v>0</v>
      </c>
      <c r="I290" s="269"/>
      <c r="J290" s="269">
        <f t="shared" si="74"/>
        <v>0</v>
      </c>
      <c r="K290" s="269">
        <f t="shared" si="75"/>
        <v>0</v>
      </c>
    </row>
    <row r="291" spans="1:11" s="263" customFormat="1" ht="20.25" customHeight="1">
      <c r="A291" s="355" t="s">
        <v>710</v>
      </c>
      <c r="B291" s="356"/>
      <c r="C291" s="357"/>
      <c r="D291" s="356"/>
      <c r="E291" s="358"/>
      <c r="F291" s="358"/>
      <c r="G291" s="358"/>
      <c r="H291" s="358"/>
      <c r="I291" s="358"/>
      <c r="J291" s="358"/>
      <c r="K291" s="358"/>
    </row>
    <row r="292" spans="1:11" s="263" customFormat="1" ht="15.95" customHeight="1">
      <c r="A292" s="343">
        <v>247</v>
      </c>
      <c r="B292" s="359" t="s">
        <v>711</v>
      </c>
      <c r="C292" s="264">
        <v>1</v>
      </c>
      <c r="D292" s="267" t="s">
        <v>473</v>
      </c>
      <c r="E292" s="269"/>
      <c r="F292" s="269">
        <f t="shared" ref="F292:F306" si="76">E292*C292</f>
        <v>0</v>
      </c>
      <c r="G292" s="269"/>
      <c r="H292" s="269">
        <f t="shared" ref="H292:H306" si="77">G292*C292</f>
        <v>0</v>
      </c>
      <c r="I292" s="269"/>
      <c r="J292" s="269">
        <f t="shared" ref="J292:J306" si="78">I292*C292</f>
        <v>0</v>
      </c>
      <c r="K292" s="269">
        <f t="shared" ref="K292:K306" si="79">J292+H292+F292</f>
        <v>0</v>
      </c>
    </row>
    <row r="293" spans="1:11" s="263" customFormat="1" ht="15.95" customHeight="1">
      <c r="A293" s="343">
        <v>248</v>
      </c>
      <c r="B293" s="359" t="s">
        <v>712</v>
      </c>
      <c r="C293" s="264">
        <v>6</v>
      </c>
      <c r="D293" s="267" t="s">
        <v>467</v>
      </c>
      <c r="E293" s="269"/>
      <c r="F293" s="269">
        <f t="shared" si="76"/>
        <v>0</v>
      </c>
      <c r="G293" s="269"/>
      <c r="H293" s="269">
        <f t="shared" si="77"/>
        <v>0</v>
      </c>
      <c r="I293" s="269"/>
      <c r="J293" s="269">
        <f t="shared" si="78"/>
        <v>0</v>
      </c>
      <c r="K293" s="269">
        <f t="shared" si="79"/>
        <v>0</v>
      </c>
    </row>
    <row r="294" spans="1:11" s="263" customFormat="1" ht="15.95" customHeight="1">
      <c r="A294" s="343">
        <v>249</v>
      </c>
      <c r="B294" s="359" t="s">
        <v>713</v>
      </c>
      <c r="C294" s="264">
        <v>1</v>
      </c>
      <c r="D294" s="267" t="s">
        <v>473</v>
      </c>
      <c r="E294" s="269"/>
      <c r="F294" s="269">
        <f t="shared" si="76"/>
        <v>0</v>
      </c>
      <c r="G294" s="269"/>
      <c r="H294" s="269">
        <f t="shared" si="77"/>
        <v>0</v>
      </c>
      <c r="I294" s="269"/>
      <c r="J294" s="269">
        <f t="shared" si="78"/>
        <v>0</v>
      </c>
      <c r="K294" s="269">
        <f t="shared" si="79"/>
        <v>0</v>
      </c>
    </row>
    <row r="295" spans="1:11" s="263" customFormat="1" ht="15.95" customHeight="1">
      <c r="A295" s="343">
        <v>250</v>
      </c>
      <c r="B295" s="359" t="s">
        <v>714</v>
      </c>
      <c r="C295" s="264">
        <v>4</v>
      </c>
      <c r="D295" s="267" t="s">
        <v>473</v>
      </c>
      <c r="E295" s="269"/>
      <c r="F295" s="269">
        <f t="shared" si="76"/>
        <v>0</v>
      </c>
      <c r="G295" s="269"/>
      <c r="H295" s="269">
        <f t="shared" si="77"/>
        <v>0</v>
      </c>
      <c r="I295" s="269"/>
      <c r="J295" s="269">
        <f t="shared" si="78"/>
        <v>0</v>
      </c>
      <c r="K295" s="269">
        <f t="shared" si="79"/>
        <v>0</v>
      </c>
    </row>
    <row r="296" spans="1:11" s="263" customFormat="1" ht="15.95" customHeight="1">
      <c r="A296" s="343">
        <v>251</v>
      </c>
      <c r="B296" s="359" t="s">
        <v>715</v>
      </c>
      <c r="C296" s="264">
        <v>80</v>
      </c>
      <c r="D296" s="267" t="s">
        <v>467</v>
      </c>
      <c r="E296" s="269"/>
      <c r="F296" s="269">
        <f t="shared" si="76"/>
        <v>0</v>
      </c>
      <c r="G296" s="269"/>
      <c r="H296" s="269">
        <f t="shared" si="77"/>
        <v>0</v>
      </c>
      <c r="I296" s="269"/>
      <c r="J296" s="269">
        <f t="shared" si="78"/>
        <v>0</v>
      </c>
      <c r="K296" s="269">
        <f t="shared" si="79"/>
        <v>0</v>
      </c>
    </row>
    <row r="297" spans="1:11" s="263" customFormat="1" ht="15.95" customHeight="1">
      <c r="A297" s="343">
        <v>252</v>
      </c>
      <c r="B297" s="359" t="s">
        <v>716</v>
      </c>
      <c r="C297" s="264">
        <v>5</v>
      </c>
      <c r="D297" s="267" t="s">
        <v>473</v>
      </c>
      <c r="E297" s="269"/>
      <c r="F297" s="269">
        <f t="shared" si="76"/>
        <v>0</v>
      </c>
      <c r="G297" s="269"/>
      <c r="H297" s="269">
        <f t="shared" si="77"/>
        <v>0</v>
      </c>
      <c r="I297" s="269"/>
      <c r="J297" s="269">
        <f t="shared" si="78"/>
        <v>0</v>
      </c>
      <c r="K297" s="269">
        <f t="shared" si="79"/>
        <v>0</v>
      </c>
    </row>
    <row r="298" spans="1:11" s="263" customFormat="1" ht="15.95" customHeight="1">
      <c r="A298" s="343">
        <v>253</v>
      </c>
      <c r="B298" s="359" t="s">
        <v>717</v>
      </c>
      <c r="C298" s="264">
        <v>3</v>
      </c>
      <c r="D298" s="267" t="s">
        <v>473</v>
      </c>
      <c r="E298" s="269"/>
      <c r="F298" s="269">
        <f t="shared" si="76"/>
        <v>0</v>
      </c>
      <c r="G298" s="269"/>
      <c r="H298" s="269">
        <f t="shared" si="77"/>
        <v>0</v>
      </c>
      <c r="I298" s="269"/>
      <c r="J298" s="269">
        <f t="shared" si="78"/>
        <v>0</v>
      </c>
      <c r="K298" s="269">
        <f t="shared" si="79"/>
        <v>0</v>
      </c>
    </row>
    <row r="299" spans="1:11" s="263" customFormat="1" ht="15.95" customHeight="1">
      <c r="A299" s="343">
        <v>254</v>
      </c>
      <c r="B299" s="359" t="s">
        <v>718</v>
      </c>
      <c r="C299" s="264">
        <v>10</v>
      </c>
      <c r="D299" s="267" t="s">
        <v>467</v>
      </c>
      <c r="E299" s="269"/>
      <c r="F299" s="269">
        <f t="shared" si="76"/>
        <v>0</v>
      </c>
      <c r="G299" s="269"/>
      <c r="H299" s="269">
        <f t="shared" si="77"/>
        <v>0</v>
      </c>
      <c r="I299" s="269"/>
      <c r="J299" s="269">
        <f t="shared" si="78"/>
        <v>0</v>
      </c>
      <c r="K299" s="269">
        <f t="shared" si="79"/>
        <v>0</v>
      </c>
    </row>
    <row r="300" spans="1:11" s="263" customFormat="1" ht="15.95" customHeight="1">
      <c r="A300" s="343">
        <v>255</v>
      </c>
      <c r="B300" s="359" t="s">
        <v>719</v>
      </c>
      <c r="C300" s="264">
        <v>10</v>
      </c>
      <c r="D300" s="267" t="s">
        <v>473</v>
      </c>
      <c r="E300" s="269"/>
      <c r="F300" s="269">
        <f t="shared" si="76"/>
        <v>0</v>
      </c>
      <c r="G300" s="269"/>
      <c r="H300" s="269">
        <f t="shared" si="77"/>
        <v>0</v>
      </c>
      <c r="I300" s="269"/>
      <c r="J300" s="269">
        <f t="shared" si="78"/>
        <v>0</v>
      </c>
      <c r="K300" s="269">
        <f t="shared" si="79"/>
        <v>0</v>
      </c>
    </row>
    <row r="301" spans="1:11" s="263" customFormat="1" ht="15.95" customHeight="1">
      <c r="A301" s="343">
        <v>256</v>
      </c>
      <c r="B301" s="359" t="s">
        <v>720</v>
      </c>
      <c r="C301" s="264">
        <v>6</v>
      </c>
      <c r="D301" s="267" t="s">
        <v>473</v>
      </c>
      <c r="E301" s="269"/>
      <c r="F301" s="269">
        <f t="shared" si="76"/>
        <v>0</v>
      </c>
      <c r="G301" s="269"/>
      <c r="H301" s="269">
        <f t="shared" si="77"/>
        <v>0</v>
      </c>
      <c r="I301" s="269"/>
      <c r="J301" s="269">
        <f t="shared" si="78"/>
        <v>0</v>
      </c>
      <c r="K301" s="269">
        <f t="shared" si="79"/>
        <v>0</v>
      </c>
    </row>
    <row r="302" spans="1:11" s="263" customFormat="1" ht="15.95" customHeight="1">
      <c r="A302" s="343">
        <v>257</v>
      </c>
      <c r="B302" s="359" t="s">
        <v>721</v>
      </c>
      <c r="C302" s="264">
        <v>6</v>
      </c>
      <c r="D302" s="267" t="s">
        <v>473</v>
      </c>
      <c r="E302" s="269"/>
      <c r="F302" s="269">
        <f t="shared" si="76"/>
        <v>0</v>
      </c>
      <c r="G302" s="269"/>
      <c r="H302" s="269">
        <f t="shared" si="77"/>
        <v>0</v>
      </c>
      <c r="I302" s="269"/>
      <c r="J302" s="269">
        <f t="shared" si="78"/>
        <v>0</v>
      </c>
      <c r="K302" s="269">
        <f t="shared" si="79"/>
        <v>0</v>
      </c>
    </row>
    <row r="303" spans="1:11" s="263" customFormat="1" ht="15.95" customHeight="1">
      <c r="A303" s="343">
        <v>258</v>
      </c>
      <c r="B303" s="359" t="s">
        <v>722</v>
      </c>
      <c r="C303" s="264">
        <v>4</v>
      </c>
      <c r="D303" s="267" t="s">
        <v>473</v>
      </c>
      <c r="E303" s="269"/>
      <c r="F303" s="269">
        <f t="shared" si="76"/>
        <v>0</v>
      </c>
      <c r="G303" s="269"/>
      <c r="H303" s="269">
        <f t="shared" si="77"/>
        <v>0</v>
      </c>
      <c r="I303" s="269"/>
      <c r="J303" s="269">
        <f t="shared" si="78"/>
        <v>0</v>
      </c>
      <c r="K303" s="269">
        <f t="shared" si="79"/>
        <v>0</v>
      </c>
    </row>
    <row r="304" spans="1:11" s="263" customFormat="1" ht="15.95" customHeight="1">
      <c r="A304" s="343">
        <v>259</v>
      </c>
      <c r="B304" s="359" t="s">
        <v>723</v>
      </c>
      <c r="C304" s="264">
        <v>6</v>
      </c>
      <c r="D304" s="267" t="s">
        <v>473</v>
      </c>
      <c r="E304" s="269"/>
      <c r="F304" s="269">
        <f t="shared" si="76"/>
        <v>0</v>
      </c>
      <c r="G304" s="269"/>
      <c r="H304" s="269">
        <f t="shared" si="77"/>
        <v>0</v>
      </c>
      <c r="I304" s="269"/>
      <c r="J304" s="269">
        <f t="shared" si="78"/>
        <v>0</v>
      </c>
      <c r="K304" s="269">
        <f t="shared" si="79"/>
        <v>0</v>
      </c>
    </row>
    <row r="305" spans="1:11" s="263" customFormat="1" ht="15.95" customHeight="1">
      <c r="A305" s="343">
        <v>260</v>
      </c>
      <c r="B305" s="359" t="s">
        <v>724</v>
      </c>
      <c r="C305" s="264">
        <v>6</v>
      </c>
      <c r="D305" s="267" t="s">
        <v>473</v>
      </c>
      <c r="E305" s="269"/>
      <c r="F305" s="269">
        <f t="shared" si="76"/>
        <v>0</v>
      </c>
      <c r="G305" s="269"/>
      <c r="H305" s="269">
        <f t="shared" si="77"/>
        <v>0</v>
      </c>
      <c r="I305" s="269"/>
      <c r="J305" s="269">
        <f t="shared" si="78"/>
        <v>0</v>
      </c>
      <c r="K305" s="269">
        <f t="shared" si="79"/>
        <v>0</v>
      </c>
    </row>
    <row r="306" spans="1:11" ht="15">
      <c r="A306" s="343">
        <v>260</v>
      </c>
      <c r="B306" s="347" t="s">
        <v>482</v>
      </c>
      <c r="C306" s="278">
        <v>1</v>
      </c>
      <c r="D306" s="348" t="s">
        <v>483</v>
      </c>
      <c r="E306" s="269"/>
      <c r="F306" s="269">
        <f t="shared" si="76"/>
        <v>0</v>
      </c>
      <c r="G306" s="269"/>
      <c r="H306" s="269">
        <f t="shared" si="77"/>
        <v>0</v>
      </c>
      <c r="I306" s="269"/>
      <c r="J306" s="269">
        <f t="shared" si="78"/>
        <v>0</v>
      </c>
      <c r="K306" s="269">
        <f t="shared" si="79"/>
        <v>0</v>
      </c>
    </row>
    <row r="307" spans="1:11" s="263" customFormat="1" ht="22.5" customHeight="1">
      <c r="A307" s="271" t="s">
        <v>725</v>
      </c>
      <c r="B307" s="272"/>
      <c r="C307" s="273"/>
      <c r="D307" s="272"/>
      <c r="E307" s="262"/>
      <c r="F307" s="262"/>
      <c r="G307" s="262"/>
      <c r="H307" s="262"/>
      <c r="I307" s="262"/>
      <c r="J307" s="262"/>
      <c r="K307" s="262"/>
    </row>
    <row r="308" spans="1:11" s="263" customFormat="1" ht="15.95" customHeight="1">
      <c r="A308" s="350">
        <v>261</v>
      </c>
      <c r="B308" s="360" t="s">
        <v>726</v>
      </c>
      <c r="C308" s="361">
        <v>160</v>
      </c>
      <c r="D308" s="362" t="s">
        <v>727</v>
      </c>
      <c r="E308" s="269"/>
      <c r="F308" s="269">
        <f t="shared" ref="F308:F313" si="80">E308*C308</f>
        <v>0</v>
      </c>
      <c r="G308" s="269"/>
      <c r="H308" s="269">
        <f t="shared" ref="H308:H313" si="81">G308*C308</f>
        <v>0</v>
      </c>
      <c r="I308" s="269"/>
      <c r="J308" s="269">
        <f t="shared" ref="J308:J313" si="82">I308*C308</f>
        <v>0</v>
      </c>
      <c r="K308" s="269">
        <f t="shared" ref="K308:K313" si="83">J308+H308+F308</f>
        <v>0</v>
      </c>
    </row>
    <row r="309" spans="1:11" s="244" customFormat="1" ht="15.95" customHeight="1">
      <c r="A309" s="363">
        <v>262</v>
      </c>
      <c r="B309" s="364" t="s">
        <v>728</v>
      </c>
      <c r="C309" s="365">
        <v>320</v>
      </c>
      <c r="D309" s="366" t="s">
        <v>729</v>
      </c>
      <c r="E309" s="269"/>
      <c r="F309" s="269">
        <f t="shared" si="80"/>
        <v>0</v>
      </c>
      <c r="G309" s="269"/>
      <c r="H309" s="269">
        <f t="shared" si="81"/>
        <v>0</v>
      </c>
      <c r="I309" s="269"/>
      <c r="J309" s="269">
        <f t="shared" si="82"/>
        <v>0</v>
      </c>
      <c r="K309" s="269">
        <f t="shared" si="83"/>
        <v>0</v>
      </c>
    </row>
    <row r="310" spans="1:11" s="244" customFormat="1" ht="15.95" customHeight="1">
      <c r="A310" s="350">
        <v>263</v>
      </c>
      <c r="B310" s="367" t="s">
        <v>730</v>
      </c>
      <c r="C310" s="368">
        <v>100</v>
      </c>
      <c r="D310" s="369" t="s">
        <v>729</v>
      </c>
      <c r="E310" s="269"/>
      <c r="F310" s="269">
        <f t="shared" si="80"/>
        <v>0</v>
      </c>
      <c r="G310" s="269"/>
      <c r="H310" s="269">
        <f t="shared" si="81"/>
        <v>0</v>
      </c>
      <c r="I310" s="269"/>
      <c r="J310" s="269">
        <f t="shared" si="82"/>
        <v>0</v>
      </c>
      <c r="K310" s="269">
        <f t="shared" si="83"/>
        <v>0</v>
      </c>
    </row>
    <row r="311" spans="1:11" s="263" customFormat="1" ht="15.95" customHeight="1">
      <c r="A311" s="363">
        <v>264</v>
      </c>
      <c r="B311" s="370" t="s">
        <v>731</v>
      </c>
      <c r="C311" s="361">
        <f>C309-C310-1.76</f>
        <v>218.24</v>
      </c>
      <c r="D311" s="371" t="s">
        <v>732</v>
      </c>
      <c r="E311" s="269"/>
      <c r="F311" s="269">
        <f t="shared" si="80"/>
        <v>0</v>
      </c>
      <c r="G311" s="269"/>
      <c r="H311" s="269">
        <f t="shared" si="81"/>
        <v>0</v>
      </c>
      <c r="I311" s="269"/>
      <c r="J311" s="269">
        <f t="shared" si="82"/>
        <v>0</v>
      </c>
      <c r="K311" s="269">
        <f t="shared" si="83"/>
        <v>0</v>
      </c>
    </row>
    <row r="312" spans="1:11" ht="15.95" customHeight="1">
      <c r="A312" s="350">
        <v>265</v>
      </c>
      <c r="B312" s="370" t="s">
        <v>733</v>
      </c>
      <c r="C312" s="372">
        <f>C309-C311</f>
        <v>101.75999999999999</v>
      </c>
      <c r="D312" s="371" t="s">
        <v>732</v>
      </c>
      <c r="E312" s="269"/>
      <c r="F312" s="269">
        <f t="shared" si="80"/>
        <v>0</v>
      </c>
      <c r="G312" s="269"/>
      <c r="H312" s="269">
        <f t="shared" si="81"/>
        <v>0</v>
      </c>
      <c r="I312" s="269"/>
      <c r="J312" s="269">
        <f t="shared" si="82"/>
        <v>0</v>
      </c>
      <c r="K312" s="269">
        <f t="shared" si="83"/>
        <v>0</v>
      </c>
    </row>
    <row r="313" spans="1:11" ht="15.95" customHeight="1">
      <c r="A313" s="363">
        <v>266</v>
      </c>
      <c r="B313" s="370" t="s">
        <v>734</v>
      </c>
      <c r="C313" s="372">
        <v>400</v>
      </c>
      <c r="D313" s="371" t="s">
        <v>467</v>
      </c>
      <c r="E313" s="269"/>
      <c r="F313" s="269">
        <f t="shared" si="80"/>
        <v>0</v>
      </c>
      <c r="G313" s="269"/>
      <c r="H313" s="269">
        <f t="shared" si="81"/>
        <v>0</v>
      </c>
      <c r="I313" s="269">
        <v>0</v>
      </c>
      <c r="J313" s="269">
        <f t="shared" si="82"/>
        <v>0</v>
      </c>
      <c r="K313" s="269">
        <f t="shared" si="83"/>
        <v>0</v>
      </c>
    </row>
    <row r="314" spans="1:11" ht="15">
      <c r="A314" s="284"/>
      <c r="B314" s="285"/>
      <c r="C314" s="284"/>
      <c r="D314" s="286"/>
      <c r="E314" s="287"/>
      <c r="F314" s="287"/>
      <c r="G314" s="287"/>
      <c r="H314" s="287"/>
      <c r="I314" s="287"/>
      <c r="J314" s="287"/>
      <c r="K314" s="287"/>
    </row>
    <row r="315" spans="1:11" ht="18.75" customHeight="1">
      <c r="A315" s="288"/>
      <c r="B315" s="289" t="s">
        <v>522</v>
      </c>
      <c r="C315" s="290"/>
      <c r="D315" s="291"/>
      <c r="E315" s="291"/>
      <c r="F315" s="425">
        <f>SUM(F9:F313)</f>
        <v>0</v>
      </c>
      <c r="G315" s="426"/>
      <c r="H315" s="425">
        <f>SUM(H9:H313)</f>
        <v>0</v>
      </c>
      <c r="I315" s="426"/>
      <c r="J315" s="425">
        <f>SUM(J9:J313)</f>
        <v>0</v>
      </c>
      <c r="K315" s="425">
        <f>SUM(K9:K313)</f>
        <v>0</v>
      </c>
    </row>
    <row r="316" spans="1:11" ht="15">
      <c r="A316" s="288"/>
      <c r="B316" s="292" t="s">
        <v>523</v>
      </c>
      <c r="C316" s="293">
        <v>0</v>
      </c>
      <c r="D316" s="294"/>
      <c r="E316" s="294"/>
      <c r="F316" s="295"/>
      <c r="G316" s="295"/>
      <c r="H316" s="295"/>
      <c r="I316" s="295"/>
      <c r="J316" s="295"/>
      <c r="K316" s="427">
        <f>K315*C316</f>
        <v>0</v>
      </c>
    </row>
    <row r="317" spans="1:11" ht="15" customHeight="1">
      <c r="A317" s="288"/>
      <c r="B317" s="296" t="s">
        <v>173</v>
      </c>
      <c r="C317" s="297"/>
      <c r="D317" s="291"/>
      <c r="E317" s="291"/>
      <c r="F317" s="298"/>
      <c r="G317" s="298"/>
      <c r="H317" s="298"/>
      <c r="I317" s="298"/>
      <c r="J317" s="298"/>
      <c r="K317" s="428">
        <f>SUM(K315:K316)</f>
        <v>0</v>
      </c>
    </row>
    <row r="318" spans="1:11" ht="15">
      <c r="A318" s="288"/>
      <c r="B318" s="292" t="s">
        <v>524</v>
      </c>
      <c r="C318" s="293">
        <v>0</v>
      </c>
      <c r="D318" s="294"/>
      <c r="E318" s="294"/>
      <c r="F318" s="295"/>
      <c r="G318" s="295"/>
      <c r="H318" s="295"/>
      <c r="I318" s="295"/>
      <c r="J318" s="295"/>
      <c r="K318" s="427">
        <f>K317*C318</f>
        <v>0</v>
      </c>
    </row>
    <row r="319" spans="1:11" ht="14.25" customHeight="1">
      <c r="A319" s="288"/>
      <c r="B319" s="296" t="s">
        <v>173</v>
      </c>
      <c r="C319" s="297"/>
      <c r="D319" s="291"/>
      <c r="E319" s="291"/>
      <c r="F319" s="298"/>
      <c r="G319" s="298"/>
      <c r="H319" s="298"/>
      <c r="I319" s="298"/>
      <c r="J319" s="298"/>
      <c r="K319" s="428">
        <f>K318+K317</f>
        <v>0</v>
      </c>
    </row>
    <row r="320" spans="1:11" ht="15">
      <c r="A320" s="288"/>
      <c r="B320" s="292" t="s">
        <v>525</v>
      </c>
      <c r="C320" s="293"/>
      <c r="D320" s="294"/>
      <c r="E320" s="294"/>
      <c r="F320" s="295"/>
      <c r="G320" s="295"/>
      <c r="H320" s="295"/>
      <c r="I320" s="295"/>
      <c r="J320" s="295"/>
      <c r="K320" s="427">
        <f>K319*C320</f>
        <v>0</v>
      </c>
    </row>
    <row r="321" spans="1:11" ht="16.5" customHeight="1">
      <c r="A321" s="288"/>
      <c r="B321" s="296" t="s">
        <v>173</v>
      </c>
      <c r="C321" s="297"/>
      <c r="D321" s="291"/>
      <c r="E321" s="291"/>
      <c r="F321" s="298"/>
      <c r="G321" s="298"/>
      <c r="H321" s="298"/>
      <c r="I321" s="298"/>
      <c r="J321" s="298"/>
      <c r="K321" s="428">
        <f>K320+K319</f>
        <v>0</v>
      </c>
    </row>
    <row r="322" spans="1:11" ht="15.75" thickBot="1">
      <c r="A322" s="288"/>
      <c r="B322" s="299" t="s">
        <v>63</v>
      </c>
      <c r="C322" s="300">
        <v>0.18</v>
      </c>
      <c r="D322" s="301"/>
      <c r="E322" s="301"/>
      <c r="F322" s="302"/>
      <c r="G322" s="302"/>
      <c r="H322" s="302"/>
      <c r="I322" s="302"/>
      <c r="J322" s="302"/>
      <c r="K322" s="429">
        <f>K321*C322</f>
        <v>0</v>
      </c>
    </row>
    <row r="323" spans="1:11" ht="30" customHeight="1" thickBot="1">
      <c r="A323" s="288"/>
      <c r="B323" s="303" t="s">
        <v>526</v>
      </c>
      <c r="C323" s="304"/>
      <c r="D323" s="305"/>
      <c r="E323" s="305"/>
      <c r="F323" s="306"/>
      <c r="G323" s="306"/>
      <c r="H323" s="306"/>
      <c r="I323" s="306"/>
      <c r="J323" s="307"/>
      <c r="K323" s="430">
        <f>K322+K321</f>
        <v>0</v>
      </c>
    </row>
  </sheetData>
  <autoFilter ref="A7:K7" xr:uid="{17D33189-15D0-41F4-8FC1-FB4A152A1F72}"/>
  <mergeCells count="8">
    <mergeCell ref="I6:J6"/>
    <mergeCell ref="K6:K7"/>
    <mergeCell ref="A6:A7"/>
    <mergeCell ref="B6:B7"/>
    <mergeCell ref="C6:C7"/>
    <mergeCell ref="D6:D7"/>
    <mergeCell ref="E6:F6"/>
    <mergeCell ref="G6:H6"/>
  </mergeCells>
  <pageMargins left="0.39370078740157499" right="0.23622047244094499" top="0.56999999999999995" bottom="0.56999999999999995" header="0.2" footer="0.196850393700787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3772-6FA2-4589-8ED4-D7194FA8FBBC}">
  <sheetPr>
    <tabColor rgb="FFFFFF00"/>
  </sheetPr>
  <dimension ref="A1:K80"/>
  <sheetViews>
    <sheetView showGridLines="0" zoomScale="85" zoomScaleNormal="85" workbookViewId="0">
      <selection activeCell="K77" sqref="K77"/>
    </sheetView>
  </sheetViews>
  <sheetFormatPr defaultColWidth="9.140625" defaultRowHeight="12.75"/>
  <cols>
    <col min="1" max="1" width="5.7109375" style="250" customWidth="1"/>
    <col min="2" max="2" width="110.7109375" style="246" customWidth="1"/>
    <col min="3" max="3" width="11.42578125" style="245" customWidth="1"/>
    <col min="4" max="4" width="10.42578125" style="246" customWidth="1"/>
    <col min="5" max="5" width="14" style="244" customWidth="1"/>
    <col min="6" max="6" width="15.140625" style="244" customWidth="1"/>
    <col min="7" max="7" width="14.140625" style="244" customWidth="1"/>
    <col min="8" max="8" width="14.5703125" style="244" customWidth="1"/>
    <col min="9" max="9" width="16.42578125" style="244" customWidth="1"/>
    <col min="10" max="10" width="15.28515625" style="244" customWidth="1"/>
    <col min="11" max="11" width="18.5703125" style="244" customWidth="1"/>
    <col min="12" max="255" width="9.140625" style="243"/>
    <col min="256" max="256" width="5.7109375" style="243" customWidth="1"/>
    <col min="257" max="257" width="110.7109375" style="243" customWidth="1"/>
    <col min="258" max="258" width="11.42578125" style="243" customWidth="1"/>
    <col min="259" max="259" width="10.42578125" style="243" customWidth="1"/>
    <col min="260" max="260" width="14" style="243" customWidth="1"/>
    <col min="261" max="261" width="15.140625" style="243" customWidth="1"/>
    <col min="262" max="262" width="14.140625" style="243" customWidth="1"/>
    <col min="263" max="263" width="14.5703125" style="243" customWidth="1"/>
    <col min="264" max="264" width="16.42578125" style="243" customWidth="1"/>
    <col min="265" max="265" width="15.28515625" style="243" customWidth="1"/>
    <col min="266" max="266" width="18.5703125" style="243" customWidth="1"/>
    <col min="267" max="267" width="15.140625" style="243" customWidth="1"/>
    <col min="268" max="511" width="9.140625" style="243"/>
    <col min="512" max="512" width="5.7109375" style="243" customWidth="1"/>
    <col min="513" max="513" width="110.7109375" style="243" customWidth="1"/>
    <col min="514" max="514" width="11.42578125" style="243" customWidth="1"/>
    <col min="515" max="515" width="10.42578125" style="243" customWidth="1"/>
    <col min="516" max="516" width="14" style="243" customWidth="1"/>
    <col min="517" max="517" width="15.140625" style="243" customWidth="1"/>
    <col min="518" max="518" width="14.140625" style="243" customWidth="1"/>
    <col min="519" max="519" width="14.5703125" style="243" customWidth="1"/>
    <col min="520" max="520" width="16.42578125" style="243" customWidth="1"/>
    <col min="521" max="521" width="15.28515625" style="243" customWidth="1"/>
    <col min="522" max="522" width="18.5703125" style="243" customWidth="1"/>
    <col min="523" max="523" width="15.140625" style="243" customWidth="1"/>
    <col min="524" max="767" width="9.140625" style="243"/>
    <col min="768" max="768" width="5.7109375" style="243" customWidth="1"/>
    <col min="769" max="769" width="110.7109375" style="243" customWidth="1"/>
    <col min="770" max="770" width="11.42578125" style="243" customWidth="1"/>
    <col min="771" max="771" width="10.42578125" style="243" customWidth="1"/>
    <col min="772" max="772" width="14" style="243" customWidth="1"/>
    <col min="773" max="773" width="15.140625" style="243" customWidth="1"/>
    <col min="774" max="774" width="14.140625" style="243" customWidth="1"/>
    <col min="775" max="775" width="14.5703125" style="243" customWidth="1"/>
    <col min="776" max="776" width="16.42578125" style="243" customWidth="1"/>
    <col min="777" max="777" width="15.28515625" style="243" customWidth="1"/>
    <col min="778" max="778" width="18.5703125" style="243" customWidth="1"/>
    <col min="779" max="779" width="15.140625" style="243" customWidth="1"/>
    <col min="780" max="1023" width="9.140625" style="243"/>
    <col min="1024" max="1024" width="5.7109375" style="243" customWidth="1"/>
    <col min="1025" max="1025" width="110.7109375" style="243" customWidth="1"/>
    <col min="1026" max="1026" width="11.42578125" style="243" customWidth="1"/>
    <col min="1027" max="1027" width="10.42578125" style="243" customWidth="1"/>
    <col min="1028" max="1028" width="14" style="243" customWidth="1"/>
    <col min="1029" max="1029" width="15.140625" style="243" customWidth="1"/>
    <col min="1030" max="1030" width="14.140625" style="243" customWidth="1"/>
    <col min="1031" max="1031" width="14.5703125" style="243" customWidth="1"/>
    <col min="1032" max="1032" width="16.42578125" style="243" customWidth="1"/>
    <col min="1033" max="1033" width="15.28515625" style="243" customWidth="1"/>
    <col min="1034" max="1034" width="18.5703125" style="243" customWidth="1"/>
    <col min="1035" max="1035" width="15.140625" style="243" customWidth="1"/>
    <col min="1036" max="1279" width="9.140625" style="243"/>
    <col min="1280" max="1280" width="5.7109375" style="243" customWidth="1"/>
    <col min="1281" max="1281" width="110.7109375" style="243" customWidth="1"/>
    <col min="1282" max="1282" width="11.42578125" style="243" customWidth="1"/>
    <col min="1283" max="1283" width="10.42578125" style="243" customWidth="1"/>
    <col min="1284" max="1284" width="14" style="243" customWidth="1"/>
    <col min="1285" max="1285" width="15.140625" style="243" customWidth="1"/>
    <col min="1286" max="1286" width="14.140625" style="243" customWidth="1"/>
    <col min="1287" max="1287" width="14.5703125" style="243" customWidth="1"/>
    <col min="1288" max="1288" width="16.42578125" style="243" customWidth="1"/>
    <col min="1289" max="1289" width="15.28515625" style="243" customWidth="1"/>
    <col min="1290" max="1290" width="18.5703125" style="243" customWidth="1"/>
    <col min="1291" max="1291" width="15.140625" style="243" customWidth="1"/>
    <col min="1292" max="1535" width="9.140625" style="243"/>
    <col min="1536" max="1536" width="5.7109375" style="243" customWidth="1"/>
    <col min="1537" max="1537" width="110.7109375" style="243" customWidth="1"/>
    <col min="1538" max="1538" width="11.42578125" style="243" customWidth="1"/>
    <col min="1539" max="1539" width="10.42578125" style="243" customWidth="1"/>
    <col min="1540" max="1540" width="14" style="243" customWidth="1"/>
    <col min="1541" max="1541" width="15.140625" style="243" customWidth="1"/>
    <col min="1542" max="1542" width="14.140625" style="243" customWidth="1"/>
    <col min="1543" max="1543" width="14.5703125" style="243" customWidth="1"/>
    <col min="1544" max="1544" width="16.42578125" style="243" customWidth="1"/>
    <col min="1545" max="1545" width="15.28515625" style="243" customWidth="1"/>
    <col min="1546" max="1546" width="18.5703125" style="243" customWidth="1"/>
    <col min="1547" max="1547" width="15.140625" style="243" customWidth="1"/>
    <col min="1548" max="1791" width="9.140625" style="243"/>
    <col min="1792" max="1792" width="5.7109375" style="243" customWidth="1"/>
    <col min="1793" max="1793" width="110.7109375" style="243" customWidth="1"/>
    <col min="1794" max="1794" width="11.42578125" style="243" customWidth="1"/>
    <col min="1795" max="1795" width="10.42578125" style="243" customWidth="1"/>
    <col min="1796" max="1796" width="14" style="243" customWidth="1"/>
    <col min="1797" max="1797" width="15.140625" style="243" customWidth="1"/>
    <col min="1798" max="1798" width="14.140625" style="243" customWidth="1"/>
    <col min="1799" max="1799" width="14.5703125" style="243" customWidth="1"/>
    <col min="1800" max="1800" width="16.42578125" style="243" customWidth="1"/>
    <col min="1801" max="1801" width="15.28515625" style="243" customWidth="1"/>
    <col min="1802" max="1802" width="18.5703125" style="243" customWidth="1"/>
    <col min="1803" max="1803" width="15.140625" style="243" customWidth="1"/>
    <col min="1804" max="2047" width="9.140625" style="243"/>
    <col min="2048" max="2048" width="5.7109375" style="243" customWidth="1"/>
    <col min="2049" max="2049" width="110.7109375" style="243" customWidth="1"/>
    <col min="2050" max="2050" width="11.42578125" style="243" customWidth="1"/>
    <col min="2051" max="2051" width="10.42578125" style="243" customWidth="1"/>
    <col min="2052" max="2052" width="14" style="243" customWidth="1"/>
    <col min="2053" max="2053" width="15.140625" style="243" customWidth="1"/>
    <col min="2054" max="2054" width="14.140625" style="243" customWidth="1"/>
    <col min="2055" max="2055" width="14.5703125" style="243" customWidth="1"/>
    <col min="2056" max="2056" width="16.42578125" style="243" customWidth="1"/>
    <col min="2057" max="2057" width="15.28515625" style="243" customWidth="1"/>
    <col min="2058" max="2058" width="18.5703125" style="243" customWidth="1"/>
    <col min="2059" max="2059" width="15.140625" style="243" customWidth="1"/>
    <col min="2060" max="2303" width="9.140625" style="243"/>
    <col min="2304" max="2304" width="5.7109375" style="243" customWidth="1"/>
    <col min="2305" max="2305" width="110.7109375" style="243" customWidth="1"/>
    <col min="2306" max="2306" width="11.42578125" style="243" customWidth="1"/>
    <col min="2307" max="2307" width="10.42578125" style="243" customWidth="1"/>
    <col min="2308" max="2308" width="14" style="243" customWidth="1"/>
    <col min="2309" max="2309" width="15.140625" style="243" customWidth="1"/>
    <col min="2310" max="2310" width="14.140625" style="243" customWidth="1"/>
    <col min="2311" max="2311" width="14.5703125" style="243" customWidth="1"/>
    <col min="2312" max="2312" width="16.42578125" style="243" customWidth="1"/>
    <col min="2313" max="2313" width="15.28515625" style="243" customWidth="1"/>
    <col min="2314" max="2314" width="18.5703125" style="243" customWidth="1"/>
    <col min="2315" max="2315" width="15.140625" style="243" customWidth="1"/>
    <col min="2316" max="2559" width="9.140625" style="243"/>
    <col min="2560" max="2560" width="5.7109375" style="243" customWidth="1"/>
    <col min="2561" max="2561" width="110.7109375" style="243" customWidth="1"/>
    <col min="2562" max="2562" width="11.42578125" style="243" customWidth="1"/>
    <col min="2563" max="2563" width="10.42578125" style="243" customWidth="1"/>
    <col min="2564" max="2564" width="14" style="243" customWidth="1"/>
    <col min="2565" max="2565" width="15.140625" style="243" customWidth="1"/>
    <col min="2566" max="2566" width="14.140625" style="243" customWidth="1"/>
    <col min="2567" max="2567" width="14.5703125" style="243" customWidth="1"/>
    <col min="2568" max="2568" width="16.42578125" style="243" customWidth="1"/>
    <col min="2569" max="2569" width="15.28515625" style="243" customWidth="1"/>
    <col min="2570" max="2570" width="18.5703125" style="243" customWidth="1"/>
    <col min="2571" max="2571" width="15.140625" style="243" customWidth="1"/>
    <col min="2572" max="2815" width="9.140625" style="243"/>
    <col min="2816" max="2816" width="5.7109375" style="243" customWidth="1"/>
    <col min="2817" max="2817" width="110.7109375" style="243" customWidth="1"/>
    <col min="2818" max="2818" width="11.42578125" style="243" customWidth="1"/>
    <col min="2819" max="2819" width="10.42578125" style="243" customWidth="1"/>
    <col min="2820" max="2820" width="14" style="243" customWidth="1"/>
    <col min="2821" max="2821" width="15.140625" style="243" customWidth="1"/>
    <col min="2822" max="2822" width="14.140625" style="243" customWidth="1"/>
    <col min="2823" max="2823" width="14.5703125" style="243" customWidth="1"/>
    <col min="2824" max="2824" width="16.42578125" style="243" customWidth="1"/>
    <col min="2825" max="2825" width="15.28515625" style="243" customWidth="1"/>
    <col min="2826" max="2826" width="18.5703125" style="243" customWidth="1"/>
    <col min="2827" max="2827" width="15.140625" style="243" customWidth="1"/>
    <col min="2828" max="3071" width="9.140625" style="243"/>
    <col min="3072" max="3072" width="5.7109375" style="243" customWidth="1"/>
    <col min="3073" max="3073" width="110.7109375" style="243" customWidth="1"/>
    <col min="3074" max="3074" width="11.42578125" style="243" customWidth="1"/>
    <col min="3075" max="3075" width="10.42578125" style="243" customWidth="1"/>
    <col min="3076" max="3076" width="14" style="243" customWidth="1"/>
    <col min="3077" max="3077" width="15.140625" style="243" customWidth="1"/>
    <col min="3078" max="3078" width="14.140625" style="243" customWidth="1"/>
    <col min="3079" max="3079" width="14.5703125" style="243" customWidth="1"/>
    <col min="3080" max="3080" width="16.42578125" style="243" customWidth="1"/>
    <col min="3081" max="3081" width="15.28515625" style="243" customWidth="1"/>
    <col min="3082" max="3082" width="18.5703125" style="243" customWidth="1"/>
    <col min="3083" max="3083" width="15.140625" style="243" customWidth="1"/>
    <col min="3084" max="3327" width="9.140625" style="243"/>
    <col min="3328" max="3328" width="5.7109375" style="243" customWidth="1"/>
    <col min="3329" max="3329" width="110.7109375" style="243" customWidth="1"/>
    <col min="3330" max="3330" width="11.42578125" style="243" customWidth="1"/>
    <col min="3331" max="3331" width="10.42578125" style="243" customWidth="1"/>
    <col min="3332" max="3332" width="14" style="243" customWidth="1"/>
    <col min="3333" max="3333" width="15.140625" style="243" customWidth="1"/>
    <col min="3334" max="3334" width="14.140625" style="243" customWidth="1"/>
    <col min="3335" max="3335" width="14.5703125" style="243" customWidth="1"/>
    <col min="3336" max="3336" width="16.42578125" style="243" customWidth="1"/>
    <col min="3337" max="3337" width="15.28515625" style="243" customWidth="1"/>
    <col min="3338" max="3338" width="18.5703125" style="243" customWidth="1"/>
    <col min="3339" max="3339" width="15.140625" style="243" customWidth="1"/>
    <col min="3340" max="3583" width="9.140625" style="243"/>
    <col min="3584" max="3584" width="5.7109375" style="243" customWidth="1"/>
    <col min="3585" max="3585" width="110.7109375" style="243" customWidth="1"/>
    <col min="3586" max="3586" width="11.42578125" style="243" customWidth="1"/>
    <col min="3587" max="3587" width="10.42578125" style="243" customWidth="1"/>
    <col min="3588" max="3588" width="14" style="243" customWidth="1"/>
    <col min="3589" max="3589" width="15.140625" style="243" customWidth="1"/>
    <col min="3590" max="3590" width="14.140625" style="243" customWidth="1"/>
    <col min="3591" max="3591" width="14.5703125" style="243" customWidth="1"/>
    <col min="3592" max="3592" width="16.42578125" style="243" customWidth="1"/>
    <col min="3593" max="3593" width="15.28515625" style="243" customWidth="1"/>
    <col min="3594" max="3594" width="18.5703125" style="243" customWidth="1"/>
    <col min="3595" max="3595" width="15.140625" style="243" customWidth="1"/>
    <col min="3596" max="3839" width="9.140625" style="243"/>
    <col min="3840" max="3840" width="5.7109375" style="243" customWidth="1"/>
    <col min="3841" max="3841" width="110.7109375" style="243" customWidth="1"/>
    <col min="3842" max="3842" width="11.42578125" style="243" customWidth="1"/>
    <col min="3843" max="3843" width="10.42578125" style="243" customWidth="1"/>
    <col min="3844" max="3844" width="14" style="243" customWidth="1"/>
    <col min="3845" max="3845" width="15.140625" style="243" customWidth="1"/>
    <col min="3846" max="3846" width="14.140625" style="243" customWidth="1"/>
    <col min="3847" max="3847" width="14.5703125" style="243" customWidth="1"/>
    <col min="3848" max="3848" width="16.42578125" style="243" customWidth="1"/>
    <col min="3849" max="3849" width="15.28515625" style="243" customWidth="1"/>
    <col min="3850" max="3850" width="18.5703125" style="243" customWidth="1"/>
    <col min="3851" max="3851" width="15.140625" style="243" customWidth="1"/>
    <col min="3852" max="4095" width="9.140625" style="243"/>
    <col min="4096" max="4096" width="5.7109375" style="243" customWidth="1"/>
    <col min="4097" max="4097" width="110.7109375" style="243" customWidth="1"/>
    <col min="4098" max="4098" width="11.42578125" style="243" customWidth="1"/>
    <col min="4099" max="4099" width="10.42578125" style="243" customWidth="1"/>
    <col min="4100" max="4100" width="14" style="243" customWidth="1"/>
    <col min="4101" max="4101" width="15.140625" style="243" customWidth="1"/>
    <col min="4102" max="4102" width="14.140625" style="243" customWidth="1"/>
    <col min="4103" max="4103" width="14.5703125" style="243" customWidth="1"/>
    <col min="4104" max="4104" width="16.42578125" style="243" customWidth="1"/>
    <col min="4105" max="4105" width="15.28515625" style="243" customWidth="1"/>
    <col min="4106" max="4106" width="18.5703125" style="243" customWidth="1"/>
    <col min="4107" max="4107" width="15.140625" style="243" customWidth="1"/>
    <col min="4108" max="4351" width="9.140625" style="243"/>
    <col min="4352" max="4352" width="5.7109375" style="243" customWidth="1"/>
    <col min="4353" max="4353" width="110.7109375" style="243" customWidth="1"/>
    <col min="4354" max="4354" width="11.42578125" style="243" customWidth="1"/>
    <col min="4355" max="4355" width="10.42578125" style="243" customWidth="1"/>
    <col min="4356" max="4356" width="14" style="243" customWidth="1"/>
    <col min="4357" max="4357" width="15.140625" style="243" customWidth="1"/>
    <col min="4358" max="4358" width="14.140625" style="243" customWidth="1"/>
    <col min="4359" max="4359" width="14.5703125" style="243" customWidth="1"/>
    <col min="4360" max="4360" width="16.42578125" style="243" customWidth="1"/>
    <col min="4361" max="4361" width="15.28515625" style="243" customWidth="1"/>
    <col min="4362" max="4362" width="18.5703125" style="243" customWidth="1"/>
    <col min="4363" max="4363" width="15.140625" style="243" customWidth="1"/>
    <col min="4364" max="4607" width="9.140625" style="243"/>
    <col min="4608" max="4608" width="5.7109375" style="243" customWidth="1"/>
    <col min="4609" max="4609" width="110.7109375" style="243" customWidth="1"/>
    <col min="4610" max="4610" width="11.42578125" style="243" customWidth="1"/>
    <col min="4611" max="4611" width="10.42578125" style="243" customWidth="1"/>
    <col min="4612" max="4612" width="14" style="243" customWidth="1"/>
    <col min="4613" max="4613" width="15.140625" style="243" customWidth="1"/>
    <col min="4614" max="4614" width="14.140625" style="243" customWidth="1"/>
    <col min="4615" max="4615" width="14.5703125" style="243" customWidth="1"/>
    <col min="4616" max="4616" width="16.42578125" style="243" customWidth="1"/>
    <col min="4617" max="4617" width="15.28515625" style="243" customWidth="1"/>
    <col min="4618" max="4618" width="18.5703125" style="243" customWidth="1"/>
    <col min="4619" max="4619" width="15.140625" style="243" customWidth="1"/>
    <col min="4620" max="4863" width="9.140625" style="243"/>
    <col min="4864" max="4864" width="5.7109375" style="243" customWidth="1"/>
    <col min="4865" max="4865" width="110.7109375" style="243" customWidth="1"/>
    <col min="4866" max="4866" width="11.42578125" style="243" customWidth="1"/>
    <col min="4867" max="4867" width="10.42578125" style="243" customWidth="1"/>
    <col min="4868" max="4868" width="14" style="243" customWidth="1"/>
    <col min="4869" max="4869" width="15.140625" style="243" customWidth="1"/>
    <col min="4870" max="4870" width="14.140625" style="243" customWidth="1"/>
    <col min="4871" max="4871" width="14.5703125" style="243" customWidth="1"/>
    <col min="4872" max="4872" width="16.42578125" style="243" customWidth="1"/>
    <col min="4873" max="4873" width="15.28515625" style="243" customWidth="1"/>
    <col min="4874" max="4874" width="18.5703125" style="243" customWidth="1"/>
    <col min="4875" max="4875" width="15.140625" style="243" customWidth="1"/>
    <col min="4876" max="5119" width="9.140625" style="243"/>
    <col min="5120" max="5120" width="5.7109375" style="243" customWidth="1"/>
    <col min="5121" max="5121" width="110.7109375" style="243" customWidth="1"/>
    <col min="5122" max="5122" width="11.42578125" style="243" customWidth="1"/>
    <col min="5123" max="5123" width="10.42578125" style="243" customWidth="1"/>
    <col min="5124" max="5124" width="14" style="243" customWidth="1"/>
    <col min="5125" max="5125" width="15.140625" style="243" customWidth="1"/>
    <col min="5126" max="5126" width="14.140625" style="243" customWidth="1"/>
    <col min="5127" max="5127" width="14.5703125" style="243" customWidth="1"/>
    <col min="5128" max="5128" width="16.42578125" style="243" customWidth="1"/>
    <col min="5129" max="5129" width="15.28515625" style="243" customWidth="1"/>
    <col min="5130" max="5130" width="18.5703125" style="243" customWidth="1"/>
    <col min="5131" max="5131" width="15.140625" style="243" customWidth="1"/>
    <col min="5132" max="5375" width="9.140625" style="243"/>
    <col min="5376" max="5376" width="5.7109375" style="243" customWidth="1"/>
    <col min="5377" max="5377" width="110.7109375" style="243" customWidth="1"/>
    <col min="5378" max="5378" width="11.42578125" style="243" customWidth="1"/>
    <col min="5379" max="5379" width="10.42578125" style="243" customWidth="1"/>
    <col min="5380" max="5380" width="14" style="243" customWidth="1"/>
    <col min="5381" max="5381" width="15.140625" style="243" customWidth="1"/>
    <col min="5382" max="5382" width="14.140625" style="243" customWidth="1"/>
    <col min="5383" max="5383" width="14.5703125" style="243" customWidth="1"/>
    <col min="5384" max="5384" width="16.42578125" style="243" customWidth="1"/>
    <col min="5385" max="5385" width="15.28515625" style="243" customWidth="1"/>
    <col min="5386" max="5386" width="18.5703125" style="243" customWidth="1"/>
    <col min="5387" max="5387" width="15.140625" style="243" customWidth="1"/>
    <col min="5388" max="5631" width="9.140625" style="243"/>
    <col min="5632" max="5632" width="5.7109375" style="243" customWidth="1"/>
    <col min="5633" max="5633" width="110.7109375" style="243" customWidth="1"/>
    <col min="5634" max="5634" width="11.42578125" style="243" customWidth="1"/>
    <col min="5635" max="5635" width="10.42578125" style="243" customWidth="1"/>
    <col min="5636" max="5636" width="14" style="243" customWidth="1"/>
    <col min="5637" max="5637" width="15.140625" style="243" customWidth="1"/>
    <col min="5638" max="5638" width="14.140625" style="243" customWidth="1"/>
    <col min="5639" max="5639" width="14.5703125" style="243" customWidth="1"/>
    <col min="5640" max="5640" width="16.42578125" style="243" customWidth="1"/>
    <col min="5641" max="5641" width="15.28515625" style="243" customWidth="1"/>
    <col min="5642" max="5642" width="18.5703125" style="243" customWidth="1"/>
    <col min="5643" max="5643" width="15.140625" style="243" customWidth="1"/>
    <col min="5644" max="5887" width="9.140625" style="243"/>
    <col min="5888" max="5888" width="5.7109375" style="243" customWidth="1"/>
    <col min="5889" max="5889" width="110.7109375" style="243" customWidth="1"/>
    <col min="5890" max="5890" width="11.42578125" style="243" customWidth="1"/>
    <col min="5891" max="5891" width="10.42578125" style="243" customWidth="1"/>
    <col min="5892" max="5892" width="14" style="243" customWidth="1"/>
    <col min="5893" max="5893" width="15.140625" style="243" customWidth="1"/>
    <col min="5894" max="5894" width="14.140625" style="243" customWidth="1"/>
    <col min="5895" max="5895" width="14.5703125" style="243" customWidth="1"/>
    <col min="5896" max="5896" width="16.42578125" style="243" customWidth="1"/>
    <col min="5897" max="5897" width="15.28515625" style="243" customWidth="1"/>
    <col min="5898" max="5898" width="18.5703125" style="243" customWidth="1"/>
    <col min="5899" max="5899" width="15.140625" style="243" customWidth="1"/>
    <col min="5900" max="6143" width="9.140625" style="243"/>
    <col min="6144" max="6144" width="5.7109375" style="243" customWidth="1"/>
    <col min="6145" max="6145" width="110.7109375" style="243" customWidth="1"/>
    <col min="6146" max="6146" width="11.42578125" style="243" customWidth="1"/>
    <col min="6147" max="6147" width="10.42578125" style="243" customWidth="1"/>
    <col min="6148" max="6148" width="14" style="243" customWidth="1"/>
    <col min="6149" max="6149" width="15.140625" style="243" customWidth="1"/>
    <col min="6150" max="6150" width="14.140625" style="243" customWidth="1"/>
    <col min="6151" max="6151" width="14.5703125" style="243" customWidth="1"/>
    <col min="6152" max="6152" width="16.42578125" style="243" customWidth="1"/>
    <col min="6153" max="6153" width="15.28515625" style="243" customWidth="1"/>
    <col min="6154" max="6154" width="18.5703125" style="243" customWidth="1"/>
    <col min="6155" max="6155" width="15.140625" style="243" customWidth="1"/>
    <col min="6156" max="6399" width="9.140625" style="243"/>
    <col min="6400" max="6400" width="5.7109375" style="243" customWidth="1"/>
    <col min="6401" max="6401" width="110.7109375" style="243" customWidth="1"/>
    <col min="6402" max="6402" width="11.42578125" style="243" customWidth="1"/>
    <col min="6403" max="6403" width="10.42578125" style="243" customWidth="1"/>
    <col min="6404" max="6404" width="14" style="243" customWidth="1"/>
    <col min="6405" max="6405" width="15.140625" style="243" customWidth="1"/>
    <col min="6406" max="6406" width="14.140625" style="243" customWidth="1"/>
    <col min="6407" max="6407" width="14.5703125" style="243" customWidth="1"/>
    <col min="6408" max="6408" width="16.42578125" style="243" customWidth="1"/>
    <col min="6409" max="6409" width="15.28515625" style="243" customWidth="1"/>
    <col min="6410" max="6410" width="18.5703125" style="243" customWidth="1"/>
    <col min="6411" max="6411" width="15.140625" style="243" customWidth="1"/>
    <col min="6412" max="6655" width="9.140625" style="243"/>
    <col min="6656" max="6656" width="5.7109375" style="243" customWidth="1"/>
    <col min="6657" max="6657" width="110.7109375" style="243" customWidth="1"/>
    <col min="6658" max="6658" width="11.42578125" style="243" customWidth="1"/>
    <col min="6659" max="6659" width="10.42578125" style="243" customWidth="1"/>
    <col min="6660" max="6660" width="14" style="243" customWidth="1"/>
    <col min="6661" max="6661" width="15.140625" style="243" customWidth="1"/>
    <col min="6662" max="6662" width="14.140625" style="243" customWidth="1"/>
    <col min="6663" max="6663" width="14.5703125" style="243" customWidth="1"/>
    <col min="6664" max="6664" width="16.42578125" style="243" customWidth="1"/>
    <col min="6665" max="6665" width="15.28515625" style="243" customWidth="1"/>
    <col min="6666" max="6666" width="18.5703125" style="243" customWidth="1"/>
    <col min="6667" max="6667" width="15.140625" style="243" customWidth="1"/>
    <col min="6668" max="6911" width="9.140625" style="243"/>
    <col min="6912" max="6912" width="5.7109375" style="243" customWidth="1"/>
    <col min="6913" max="6913" width="110.7109375" style="243" customWidth="1"/>
    <col min="6914" max="6914" width="11.42578125" style="243" customWidth="1"/>
    <col min="6915" max="6915" width="10.42578125" style="243" customWidth="1"/>
    <col min="6916" max="6916" width="14" style="243" customWidth="1"/>
    <col min="6917" max="6917" width="15.140625" style="243" customWidth="1"/>
    <col min="6918" max="6918" width="14.140625" style="243" customWidth="1"/>
    <col min="6919" max="6919" width="14.5703125" style="243" customWidth="1"/>
    <col min="6920" max="6920" width="16.42578125" style="243" customWidth="1"/>
    <col min="6921" max="6921" width="15.28515625" style="243" customWidth="1"/>
    <col min="6922" max="6922" width="18.5703125" style="243" customWidth="1"/>
    <col min="6923" max="6923" width="15.140625" style="243" customWidth="1"/>
    <col min="6924" max="7167" width="9.140625" style="243"/>
    <col min="7168" max="7168" width="5.7109375" style="243" customWidth="1"/>
    <col min="7169" max="7169" width="110.7109375" style="243" customWidth="1"/>
    <col min="7170" max="7170" width="11.42578125" style="243" customWidth="1"/>
    <col min="7171" max="7171" width="10.42578125" style="243" customWidth="1"/>
    <col min="7172" max="7172" width="14" style="243" customWidth="1"/>
    <col min="7173" max="7173" width="15.140625" style="243" customWidth="1"/>
    <col min="7174" max="7174" width="14.140625" style="243" customWidth="1"/>
    <col min="7175" max="7175" width="14.5703125" style="243" customWidth="1"/>
    <col min="7176" max="7176" width="16.42578125" style="243" customWidth="1"/>
    <col min="7177" max="7177" width="15.28515625" style="243" customWidth="1"/>
    <col min="7178" max="7178" width="18.5703125" style="243" customWidth="1"/>
    <col min="7179" max="7179" width="15.140625" style="243" customWidth="1"/>
    <col min="7180" max="7423" width="9.140625" style="243"/>
    <col min="7424" max="7424" width="5.7109375" style="243" customWidth="1"/>
    <col min="7425" max="7425" width="110.7109375" style="243" customWidth="1"/>
    <col min="7426" max="7426" width="11.42578125" style="243" customWidth="1"/>
    <col min="7427" max="7427" width="10.42578125" style="243" customWidth="1"/>
    <col min="7428" max="7428" width="14" style="243" customWidth="1"/>
    <col min="7429" max="7429" width="15.140625" style="243" customWidth="1"/>
    <col min="7430" max="7430" width="14.140625" style="243" customWidth="1"/>
    <col min="7431" max="7431" width="14.5703125" style="243" customWidth="1"/>
    <col min="7432" max="7432" width="16.42578125" style="243" customWidth="1"/>
    <col min="7433" max="7433" width="15.28515625" style="243" customWidth="1"/>
    <col min="7434" max="7434" width="18.5703125" style="243" customWidth="1"/>
    <col min="7435" max="7435" width="15.140625" style="243" customWidth="1"/>
    <col min="7436" max="7679" width="9.140625" style="243"/>
    <col min="7680" max="7680" width="5.7109375" style="243" customWidth="1"/>
    <col min="7681" max="7681" width="110.7109375" style="243" customWidth="1"/>
    <col min="7682" max="7682" width="11.42578125" style="243" customWidth="1"/>
    <col min="7683" max="7683" width="10.42578125" style="243" customWidth="1"/>
    <col min="7684" max="7684" width="14" style="243" customWidth="1"/>
    <col min="7685" max="7685" width="15.140625" style="243" customWidth="1"/>
    <col min="7686" max="7686" width="14.140625" style="243" customWidth="1"/>
    <col min="7687" max="7687" width="14.5703125" style="243" customWidth="1"/>
    <col min="7688" max="7688" width="16.42578125" style="243" customWidth="1"/>
    <col min="7689" max="7689" width="15.28515625" style="243" customWidth="1"/>
    <col min="7690" max="7690" width="18.5703125" style="243" customWidth="1"/>
    <col min="7691" max="7691" width="15.140625" style="243" customWidth="1"/>
    <col min="7692" max="7935" width="9.140625" style="243"/>
    <col min="7936" max="7936" width="5.7109375" style="243" customWidth="1"/>
    <col min="7937" max="7937" width="110.7109375" style="243" customWidth="1"/>
    <col min="7938" max="7938" width="11.42578125" style="243" customWidth="1"/>
    <col min="7939" max="7939" width="10.42578125" style="243" customWidth="1"/>
    <col min="7940" max="7940" width="14" style="243" customWidth="1"/>
    <col min="7941" max="7941" width="15.140625" style="243" customWidth="1"/>
    <col min="7942" max="7942" width="14.140625" style="243" customWidth="1"/>
    <col min="7943" max="7943" width="14.5703125" style="243" customWidth="1"/>
    <col min="7944" max="7944" width="16.42578125" style="243" customWidth="1"/>
    <col min="7945" max="7945" width="15.28515625" style="243" customWidth="1"/>
    <col min="7946" max="7946" width="18.5703125" style="243" customWidth="1"/>
    <col min="7947" max="7947" width="15.140625" style="243" customWidth="1"/>
    <col min="7948" max="8191" width="9.140625" style="243"/>
    <col min="8192" max="8192" width="5.7109375" style="243" customWidth="1"/>
    <col min="8193" max="8193" width="110.7109375" style="243" customWidth="1"/>
    <col min="8194" max="8194" width="11.42578125" style="243" customWidth="1"/>
    <col min="8195" max="8195" width="10.42578125" style="243" customWidth="1"/>
    <col min="8196" max="8196" width="14" style="243" customWidth="1"/>
    <col min="8197" max="8197" width="15.140625" style="243" customWidth="1"/>
    <col min="8198" max="8198" width="14.140625" style="243" customWidth="1"/>
    <col min="8199" max="8199" width="14.5703125" style="243" customWidth="1"/>
    <col min="8200" max="8200" width="16.42578125" style="243" customWidth="1"/>
    <col min="8201" max="8201" width="15.28515625" style="243" customWidth="1"/>
    <col min="8202" max="8202" width="18.5703125" style="243" customWidth="1"/>
    <col min="8203" max="8203" width="15.140625" style="243" customWidth="1"/>
    <col min="8204" max="8447" width="9.140625" style="243"/>
    <col min="8448" max="8448" width="5.7109375" style="243" customWidth="1"/>
    <col min="8449" max="8449" width="110.7109375" style="243" customWidth="1"/>
    <col min="8450" max="8450" width="11.42578125" style="243" customWidth="1"/>
    <col min="8451" max="8451" width="10.42578125" style="243" customWidth="1"/>
    <col min="8452" max="8452" width="14" style="243" customWidth="1"/>
    <col min="8453" max="8453" width="15.140625" style="243" customWidth="1"/>
    <col min="8454" max="8454" width="14.140625" style="243" customWidth="1"/>
    <col min="8455" max="8455" width="14.5703125" style="243" customWidth="1"/>
    <col min="8456" max="8456" width="16.42578125" style="243" customWidth="1"/>
    <col min="8457" max="8457" width="15.28515625" style="243" customWidth="1"/>
    <col min="8458" max="8458" width="18.5703125" style="243" customWidth="1"/>
    <col min="8459" max="8459" width="15.140625" style="243" customWidth="1"/>
    <col min="8460" max="8703" width="9.140625" style="243"/>
    <col min="8704" max="8704" width="5.7109375" style="243" customWidth="1"/>
    <col min="8705" max="8705" width="110.7109375" style="243" customWidth="1"/>
    <col min="8706" max="8706" width="11.42578125" style="243" customWidth="1"/>
    <col min="8707" max="8707" width="10.42578125" style="243" customWidth="1"/>
    <col min="8708" max="8708" width="14" style="243" customWidth="1"/>
    <col min="8709" max="8709" width="15.140625" style="243" customWidth="1"/>
    <col min="8710" max="8710" width="14.140625" style="243" customWidth="1"/>
    <col min="8711" max="8711" width="14.5703125" style="243" customWidth="1"/>
    <col min="8712" max="8712" width="16.42578125" style="243" customWidth="1"/>
    <col min="8713" max="8713" width="15.28515625" style="243" customWidth="1"/>
    <col min="8714" max="8714" width="18.5703125" style="243" customWidth="1"/>
    <col min="8715" max="8715" width="15.140625" style="243" customWidth="1"/>
    <col min="8716" max="8959" width="9.140625" style="243"/>
    <col min="8960" max="8960" width="5.7109375" style="243" customWidth="1"/>
    <col min="8961" max="8961" width="110.7109375" style="243" customWidth="1"/>
    <col min="8962" max="8962" width="11.42578125" style="243" customWidth="1"/>
    <col min="8963" max="8963" width="10.42578125" style="243" customWidth="1"/>
    <col min="8964" max="8964" width="14" style="243" customWidth="1"/>
    <col min="8965" max="8965" width="15.140625" style="243" customWidth="1"/>
    <col min="8966" max="8966" width="14.140625" style="243" customWidth="1"/>
    <col min="8967" max="8967" width="14.5703125" style="243" customWidth="1"/>
    <col min="8968" max="8968" width="16.42578125" style="243" customWidth="1"/>
    <col min="8969" max="8969" width="15.28515625" style="243" customWidth="1"/>
    <col min="8970" max="8970" width="18.5703125" style="243" customWidth="1"/>
    <col min="8971" max="8971" width="15.140625" style="243" customWidth="1"/>
    <col min="8972" max="9215" width="9.140625" style="243"/>
    <col min="9216" max="9216" width="5.7109375" style="243" customWidth="1"/>
    <col min="9217" max="9217" width="110.7109375" style="243" customWidth="1"/>
    <col min="9218" max="9218" width="11.42578125" style="243" customWidth="1"/>
    <col min="9219" max="9219" width="10.42578125" style="243" customWidth="1"/>
    <col min="9220" max="9220" width="14" style="243" customWidth="1"/>
    <col min="9221" max="9221" width="15.140625" style="243" customWidth="1"/>
    <col min="9222" max="9222" width="14.140625" style="243" customWidth="1"/>
    <col min="9223" max="9223" width="14.5703125" style="243" customWidth="1"/>
    <col min="9224" max="9224" width="16.42578125" style="243" customWidth="1"/>
    <col min="9225" max="9225" width="15.28515625" style="243" customWidth="1"/>
    <col min="9226" max="9226" width="18.5703125" style="243" customWidth="1"/>
    <col min="9227" max="9227" width="15.140625" style="243" customWidth="1"/>
    <col min="9228" max="9471" width="9.140625" style="243"/>
    <col min="9472" max="9472" width="5.7109375" style="243" customWidth="1"/>
    <col min="9473" max="9473" width="110.7109375" style="243" customWidth="1"/>
    <col min="9474" max="9474" width="11.42578125" style="243" customWidth="1"/>
    <col min="9475" max="9475" width="10.42578125" style="243" customWidth="1"/>
    <col min="9476" max="9476" width="14" style="243" customWidth="1"/>
    <col min="9477" max="9477" width="15.140625" style="243" customWidth="1"/>
    <col min="9478" max="9478" width="14.140625" style="243" customWidth="1"/>
    <col min="9479" max="9479" width="14.5703125" style="243" customWidth="1"/>
    <col min="9480" max="9480" width="16.42578125" style="243" customWidth="1"/>
    <col min="9481" max="9481" width="15.28515625" style="243" customWidth="1"/>
    <col min="9482" max="9482" width="18.5703125" style="243" customWidth="1"/>
    <col min="9483" max="9483" width="15.140625" style="243" customWidth="1"/>
    <col min="9484" max="9727" width="9.140625" style="243"/>
    <col min="9728" max="9728" width="5.7109375" style="243" customWidth="1"/>
    <col min="9729" max="9729" width="110.7109375" style="243" customWidth="1"/>
    <col min="9730" max="9730" width="11.42578125" style="243" customWidth="1"/>
    <col min="9731" max="9731" width="10.42578125" style="243" customWidth="1"/>
    <col min="9732" max="9732" width="14" style="243" customWidth="1"/>
    <col min="9733" max="9733" width="15.140625" style="243" customWidth="1"/>
    <col min="9734" max="9734" width="14.140625" style="243" customWidth="1"/>
    <col min="9735" max="9735" width="14.5703125" style="243" customWidth="1"/>
    <col min="9736" max="9736" width="16.42578125" style="243" customWidth="1"/>
    <col min="9737" max="9737" width="15.28515625" style="243" customWidth="1"/>
    <col min="9738" max="9738" width="18.5703125" style="243" customWidth="1"/>
    <col min="9739" max="9739" width="15.140625" style="243" customWidth="1"/>
    <col min="9740" max="9983" width="9.140625" style="243"/>
    <col min="9984" max="9984" width="5.7109375" style="243" customWidth="1"/>
    <col min="9985" max="9985" width="110.7109375" style="243" customWidth="1"/>
    <col min="9986" max="9986" width="11.42578125" style="243" customWidth="1"/>
    <col min="9987" max="9987" width="10.42578125" style="243" customWidth="1"/>
    <col min="9988" max="9988" width="14" style="243" customWidth="1"/>
    <col min="9989" max="9989" width="15.140625" style="243" customWidth="1"/>
    <col min="9990" max="9990" width="14.140625" style="243" customWidth="1"/>
    <col min="9991" max="9991" width="14.5703125" style="243" customWidth="1"/>
    <col min="9992" max="9992" width="16.42578125" style="243" customWidth="1"/>
    <col min="9993" max="9993" width="15.28515625" style="243" customWidth="1"/>
    <col min="9994" max="9994" width="18.5703125" style="243" customWidth="1"/>
    <col min="9995" max="9995" width="15.140625" style="243" customWidth="1"/>
    <col min="9996" max="10239" width="9.140625" style="243"/>
    <col min="10240" max="10240" width="5.7109375" style="243" customWidth="1"/>
    <col min="10241" max="10241" width="110.7109375" style="243" customWidth="1"/>
    <col min="10242" max="10242" width="11.42578125" style="243" customWidth="1"/>
    <col min="10243" max="10243" width="10.42578125" style="243" customWidth="1"/>
    <col min="10244" max="10244" width="14" style="243" customWidth="1"/>
    <col min="10245" max="10245" width="15.140625" style="243" customWidth="1"/>
    <col min="10246" max="10246" width="14.140625" style="243" customWidth="1"/>
    <col min="10247" max="10247" width="14.5703125" style="243" customWidth="1"/>
    <col min="10248" max="10248" width="16.42578125" style="243" customWidth="1"/>
    <col min="10249" max="10249" width="15.28515625" style="243" customWidth="1"/>
    <col min="10250" max="10250" width="18.5703125" style="243" customWidth="1"/>
    <col min="10251" max="10251" width="15.140625" style="243" customWidth="1"/>
    <col min="10252" max="10495" width="9.140625" style="243"/>
    <col min="10496" max="10496" width="5.7109375" style="243" customWidth="1"/>
    <col min="10497" max="10497" width="110.7109375" style="243" customWidth="1"/>
    <col min="10498" max="10498" width="11.42578125" style="243" customWidth="1"/>
    <col min="10499" max="10499" width="10.42578125" style="243" customWidth="1"/>
    <col min="10500" max="10500" width="14" style="243" customWidth="1"/>
    <col min="10501" max="10501" width="15.140625" style="243" customWidth="1"/>
    <col min="10502" max="10502" width="14.140625" style="243" customWidth="1"/>
    <col min="10503" max="10503" width="14.5703125" style="243" customWidth="1"/>
    <col min="10504" max="10504" width="16.42578125" style="243" customWidth="1"/>
    <col min="10505" max="10505" width="15.28515625" style="243" customWidth="1"/>
    <col min="10506" max="10506" width="18.5703125" style="243" customWidth="1"/>
    <col min="10507" max="10507" width="15.140625" style="243" customWidth="1"/>
    <col min="10508" max="10751" width="9.140625" style="243"/>
    <col min="10752" max="10752" width="5.7109375" style="243" customWidth="1"/>
    <col min="10753" max="10753" width="110.7109375" style="243" customWidth="1"/>
    <col min="10754" max="10754" width="11.42578125" style="243" customWidth="1"/>
    <col min="10755" max="10755" width="10.42578125" style="243" customWidth="1"/>
    <col min="10756" max="10756" width="14" style="243" customWidth="1"/>
    <col min="10757" max="10757" width="15.140625" style="243" customWidth="1"/>
    <col min="10758" max="10758" width="14.140625" style="243" customWidth="1"/>
    <col min="10759" max="10759" width="14.5703125" style="243" customWidth="1"/>
    <col min="10760" max="10760" width="16.42578125" style="243" customWidth="1"/>
    <col min="10761" max="10761" width="15.28515625" style="243" customWidth="1"/>
    <col min="10762" max="10762" width="18.5703125" style="243" customWidth="1"/>
    <col min="10763" max="10763" width="15.140625" style="243" customWidth="1"/>
    <col min="10764" max="11007" width="9.140625" style="243"/>
    <col min="11008" max="11008" width="5.7109375" style="243" customWidth="1"/>
    <col min="11009" max="11009" width="110.7109375" style="243" customWidth="1"/>
    <col min="11010" max="11010" width="11.42578125" style="243" customWidth="1"/>
    <col min="11011" max="11011" width="10.42578125" style="243" customWidth="1"/>
    <col min="11012" max="11012" width="14" style="243" customWidth="1"/>
    <col min="11013" max="11013" width="15.140625" style="243" customWidth="1"/>
    <col min="11014" max="11014" width="14.140625" style="243" customWidth="1"/>
    <col min="11015" max="11015" width="14.5703125" style="243" customWidth="1"/>
    <col min="11016" max="11016" width="16.42578125" style="243" customWidth="1"/>
    <col min="11017" max="11017" width="15.28515625" style="243" customWidth="1"/>
    <col min="11018" max="11018" width="18.5703125" style="243" customWidth="1"/>
    <col min="11019" max="11019" width="15.140625" style="243" customWidth="1"/>
    <col min="11020" max="11263" width="9.140625" style="243"/>
    <col min="11264" max="11264" width="5.7109375" style="243" customWidth="1"/>
    <col min="11265" max="11265" width="110.7109375" style="243" customWidth="1"/>
    <col min="11266" max="11266" width="11.42578125" style="243" customWidth="1"/>
    <col min="11267" max="11267" width="10.42578125" style="243" customWidth="1"/>
    <col min="11268" max="11268" width="14" style="243" customWidth="1"/>
    <col min="11269" max="11269" width="15.140625" style="243" customWidth="1"/>
    <col min="11270" max="11270" width="14.140625" style="243" customWidth="1"/>
    <col min="11271" max="11271" width="14.5703125" style="243" customWidth="1"/>
    <col min="11272" max="11272" width="16.42578125" style="243" customWidth="1"/>
    <col min="11273" max="11273" width="15.28515625" style="243" customWidth="1"/>
    <col min="11274" max="11274" width="18.5703125" style="243" customWidth="1"/>
    <col min="11275" max="11275" width="15.140625" style="243" customWidth="1"/>
    <col min="11276" max="11519" width="9.140625" style="243"/>
    <col min="11520" max="11520" width="5.7109375" style="243" customWidth="1"/>
    <col min="11521" max="11521" width="110.7109375" style="243" customWidth="1"/>
    <col min="11522" max="11522" width="11.42578125" style="243" customWidth="1"/>
    <col min="11523" max="11523" width="10.42578125" style="243" customWidth="1"/>
    <col min="11524" max="11524" width="14" style="243" customWidth="1"/>
    <col min="11525" max="11525" width="15.140625" style="243" customWidth="1"/>
    <col min="11526" max="11526" width="14.140625" style="243" customWidth="1"/>
    <col min="11527" max="11527" width="14.5703125" style="243" customWidth="1"/>
    <col min="11528" max="11528" width="16.42578125" style="243" customWidth="1"/>
    <col min="11529" max="11529" width="15.28515625" style="243" customWidth="1"/>
    <col min="11530" max="11530" width="18.5703125" style="243" customWidth="1"/>
    <col min="11531" max="11531" width="15.140625" style="243" customWidth="1"/>
    <col min="11532" max="11775" width="9.140625" style="243"/>
    <col min="11776" max="11776" width="5.7109375" style="243" customWidth="1"/>
    <col min="11777" max="11777" width="110.7109375" style="243" customWidth="1"/>
    <col min="11778" max="11778" width="11.42578125" style="243" customWidth="1"/>
    <col min="11779" max="11779" width="10.42578125" style="243" customWidth="1"/>
    <col min="11780" max="11780" width="14" style="243" customWidth="1"/>
    <col min="11781" max="11781" width="15.140625" style="243" customWidth="1"/>
    <col min="11782" max="11782" width="14.140625" style="243" customWidth="1"/>
    <col min="11783" max="11783" width="14.5703125" style="243" customWidth="1"/>
    <col min="11784" max="11784" width="16.42578125" style="243" customWidth="1"/>
    <col min="11785" max="11785" width="15.28515625" style="243" customWidth="1"/>
    <col min="11786" max="11786" width="18.5703125" style="243" customWidth="1"/>
    <col min="11787" max="11787" width="15.140625" style="243" customWidth="1"/>
    <col min="11788" max="12031" width="9.140625" style="243"/>
    <col min="12032" max="12032" width="5.7109375" style="243" customWidth="1"/>
    <col min="12033" max="12033" width="110.7109375" style="243" customWidth="1"/>
    <col min="12034" max="12034" width="11.42578125" style="243" customWidth="1"/>
    <col min="12035" max="12035" width="10.42578125" style="243" customWidth="1"/>
    <col min="12036" max="12036" width="14" style="243" customWidth="1"/>
    <col min="12037" max="12037" width="15.140625" style="243" customWidth="1"/>
    <col min="12038" max="12038" width="14.140625" style="243" customWidth="1"/>
    <col min="12039" max="12039" width="14.5703125" style="243" customWidth="1"/>
    <col min="12040" max="12040" width="16.42578125" style="243" customWidth="1"/>
    <col min="12041" max="12041" width="15.28515625" style="243" customWidth="1"/>
    <col min="12042" max="12042" width="18.5703125" style="243" customWidth="1"/>
    <col min="12043" max="12043" width="15.140625" style="243" customWidth="1"/>
    <col min="12044" max="12287" width="9.140625" style="243"/>
    <col min="12288" max="12288" width="5.7109375" style="243" customWidth="1"/>
    <col min="12289" max="12289" width="110.7109375" style="243" customWidth="1"/>
    <col min="12290" max="12290" width="11.42578125" style="243" customWidth="1"/>
    <col min="12291" max="12291" width="10.42578125" style="243" customWidth="1"/>
    <col min="12292" max="12292" width="14" style="243" customWidth="1"/>
    <col min="12293" max="12293" width="15.140625" style="243" customWidth="1"/>
    <col min="12294" max="12294" width="14.140625" style="243" customWidth="1"/>
    <col min="12295" max="12295" width="14.5703125" style="243" customWidth="1"/>
    <col min="12296" max="12296" width="16.42578125" style="243" customWidth="1"/>
    <col min="12297" max="12297" width="15.28515625" style="243" customWidth="1"/>
    <col min="12298" max="12298" width="18.5703125" style="243" customWidth="1"/>
    <col min="12299" max="12299" width="15.140625" style="243" customWidth="1"/>
    <col min="12300" max="12543" width="9.140625" style="243"/>
    <col min="12544" max="12544" width="5.7109375" style="243" customWidth="1"/>
    <col min="12545" max="12545" width="110.7109375" style="243" customWidth="1"/>
    <col min="12546" max="12546" width="11.42578125" style="243" customWidth="1"/>
    <col min="12547" max="12547" width="10.42578125" style="243" customWidth="1"/>
    <col min="12548" max="12548" width="14" style="243" customWidth="1"/>
    <col min="12549" max="12549" width="15.140625" style="243" customWidth="1"/>
    <col min="12550" max="12550" width="14.140625" style="243" customWidth="1"/>
    <col min="12551" max="12551" width="14.5703125" style="243" customWidth="1"/>
    <col min="12552" max="12552" width="16.42578125" style="243" customWidth="1"/>
    <col min="12553" max="12553" width="15.28515625" style="243" customWidth="1"/>
    <col min="12554" max="12554" width="18.5703125" style="243" customWidth="1"/>
    <col min="12555" max="12555" width="15.140625" style="243" customWidth="1"/>
    <col min="12556" max="12799" width="9.140625" style="243"/>
    <col min="12800" max="12800" width="5.7109375" style="243" customWidth="1"/>
    <col min="12801" max="12801" width="110.7109375" style="243" customWidth="1"/>
    <col min="12802" max="12802" width="11.42578125" style="243" customWidth="1"/>
    <col min="12803" max="12803" width="10.42578125" style="243" customWidth="1"/>
    <col min="12804" max="12804" width="14" style="243" customWidth="1"/>
    <col min="12805" max="12805" width="15.140625" style="243" customWidth="1"/>
    <col min="12806" max="12806" width="14.140625" style="243" customWidth="1"/>
    <col min="12807" max="12807" width="14.5703125" style="243" customWidth="1"/>
    <col min="12808" max="12808" width="16.42578125" style="243" customWidth="1"/>
    <col min="12809" max="12809" width="15.28515625" style="243" customWidth="1"/>
    <col min="12810" max="12810" width="18.5703125" style="243" customWidth="1"/>
    <col min="12811" max="12811" width="15.140625" style="243" customWidth="1"/>
    <col min="12812" max="13055" width="9.140625" style="243"/>
    <col min="13056" max="13056" width="5.7109375" style="243" customWidth="1"/>
    <col min="13057" max="13057" width="110.7109375" style="243" customWidth="1"/>
    <col min="13058" max="13058" width="11.42578125" style="243" customWidth="1"/>
    <col min="13059" max="13059" width="10.42578125" style="243" customWidth="1"/>
    <col min="13060" max="13060" width="14" style="243" customWidth="1"/>
    <col min="13061" max="13061" width="15.140625" style="243" customWidth="1"/>
    <col min="13062" max="13062" width="14.140625" style="243" customWidth="1"/>
    <col min="13063" max="13063" width="14.5703125" style="243" customWidth="1"/>
    <col min="13064" max="13064" width="16.42578125" style="243" customWidth="1"/>
    <col min="13065" max="13065" width="15.28515625" style="243" customWidth="1"/>
    <col min="13066" max="13066" width="18.5703125" style="243" customWidth="1"/>
    <col min="13067" max="13067" width="15.140625" style="243" customWidth="1"/>
    <col min="13068" max="13311" width="9.140625" style="243"/>
    <col min="13312" max="13312" width="5.7109375" style="243" customWidth="1"/>
    <col min="13313" max="13313" width="110.7109375" style="243" customWidth="1"/>
    <col min="13314" max="13314" width="11.42578125" style="243" customWidth="1"/>
    <col min="13315" max="13315" width="10.42578125" style="243" customWidth="1"/>
    <col min="13316" max="13316" width="14" style="243" customWidth="1"/>
    <col min="13317" max="13317" width="15.140625" style="243" customWidth="1"/>
    <col min="13318" max="13318" width="14.140625" style="243" customWidth="1"/>
    <col min="13319" max="13319" width="14.5703125" style="243" customWidth="1"/>
    <col min="13320" max="13320" width="16.42578125" style="243" customWidth="1"/>
    <col min="13321" max="13321" width="15.28515625" style="243" customWidth="1"/>
    <col min="13322" max="13322" width="18.5703125" style="243" customWidth="1"/>
    <col min="13323" max="13323" width="15.140625" style="243" customWidth="1"/>
    <col min="13324" max="13567" width="9.140625" style="243"/>
    <col min="13568" max="13568" width="5.7109375" style="243" customWidth="1"/>
    <col min="13569" max="13569" width="110.7109375" style="243" customWidth="1"/>
    <col min="13570" max="13570" width="11.42578125" style="243" customWidth="1"/>
    <col min="13571" max="13571" width="10.42578125" style="243" customWidth="1"/>
    <col min="13572" max="13572" width="14" style="243" customWidth="1"/>
    <col min="13573" max="13573" width="15.140625" style="243" customWidth="1"/>
    <col min="13574" max="13574" width="14.140625" style="243" customWidth="1"/>
    <col min="13575" max="13575" width="14.5703125" style="243" customWidth="1"/>
    <col min="13576" max="13576" width="16.42578125" style="243" customWidth="1"/>
    <col min="13577" max="13577" width="15.28515625" style="243" customWidth="1"/>
    <col min="13578" max="13578" width="18.5703125" style="243" customWidth="1"/>
    <col min="13579" max="13579" width="15.140625" style="243" customWidth="1"/>
    <col min="13580" max="13823" width="9.140625" style="243"/>
    <col min="13824" max="13824" width="5.7109375" style="243" customWidth="1"/>
    <col min="13825" max="13825" width="110.7109375" style="243" customWidth="1"/>
    <col min="13826" max="13826" width="11.42578125" style="243" customWidth="1"/>
    <col min="13827" max="13827" width="10.42578125" style="243" customWidth="1"/>
    <col min="13828" max="13828" width="14" style="243" customWidth="1"/>
    <col min="13829" max="13829" width="15.140625" style="243" customWidth="1"/>
    <col min="13830" max="13830" width="14.140625" style="243" customWidth="1"/>
    <col min="13831" max="13831" width="14.5703125" style="243" customWidth="1"/>
    <col min="13832" max="13832" width="16.42578125" style="243" customWidth="1"/>
    <col min="13833" max="13833" width="15.28515625" style="243" customWidth="1"/>
    <col min="13834" max="13834" width="18.5703125" style="243" customWidth="1"/>
    <col min="13835" max="13835" width="15.140625" style="243" customWidth="1"/>
    <col min="13836" max="14079" width="9.140625" style="243"/>
    <col min="14080" max="14080" width="5.7109375" style="243" customWidth="1"/>
    <col min="14081" max="14081" width="110.7109375" style="243" customWidth="1"/>
    <col min="14082" max="14082" width="11.42578125" style="243" customWidth="1"/>
    <col min="14083" max="14083" width="10.42578125" style="243" customWidth="1"/>
    <col min="14084" max="14084" width="14" style="243" customWidth="1"/>
    <col min="14085" max="14085" width="15.140625" style="243" customWidth="1"/>
    <col min="14086" max="14086" width="14.140625" style="243" customWidth="1"/>
    <col min="14087" max="14087" width="14.5703125" style="243" customWidth="1"/>
    <col min="14088" max="14088" width="16.42578125" style="243" customWidth="1"/>
    <col min="14089" max="14089" width="15.28515625" style="243" customWidth="1"/>
    <col min="14090" max="14090" width="18.5703125" style="243" customWidth="1"/>
    <col min="14091" max="14091" width="15.140625" style="243" customWidth="1"/>
    <col min="14092" max="14335" width="9.140625" style="243"/>
    <col min="14336" max="14336" width="5.7109375" style="243" customWidth="1"/>
    <col min="14337" max="14337" width="110.7109375" style="243" customWidth="1"/>
    <col min="14338" max="14338" width="11.42578125" style="243" customWidth="1"/>
    <col min="14339" max="14339" width="10.42578125" style="243" customWidth="1"/>
    <col min="14340" max="14340" width="14" style="243" customWidth="1"/>
    <col min="14341" max="14341" width="15.140625" style="243" customWidth="1"/>
    <col min="14342" max="14342" width="14.140625" style="243" customWidth="1"/>
    <col min="14343" max="14343" width="14.5703125" style="243" customWidth="1"/>
    <col min="14344" max="14344" width="16.42578125" style="243" customWidth="1"/>
    <col min="14345" max="14345" width="15.28515625" style="243" customWidth="1"/>
    <col min="14346" max="14346" width="18.5703125" style="243" customWidth="1"/>
    <col min="14347" max="14347" width="15.140625" style="243" customWidth="1"/>
    <col min="14348" max="14591" width="9.140625" style="243"/>
    <col min="14592" max="14592" width="5.7109375" style="243" customWidth="1"/>
    <col min="14593" max="14593" width="110.7109375" style="243" customWidth="1"/>
    <col min="14594" max="14594" width="11.42578125" style="243" customWidth="1"/>
    <col min="14595" max="14595" width="10.42578125" style="243" customWidth="1"/>
    <col min="14596" max="14596" width="14" style="243" customWidth="1"/>
    <col min="14597" max="14597" width="15.140625" style="243" customWidth="1"/>
    <col min="14598" max="14598" width="14.140625" style="243" customWidth="1"/>
    <col min="14599" max="14599" width="14.5703125" style="243" customWidth="1"/>
    <col min="14600" max="14600" width="16.42578125" style="243" customWidth="1"/>
    <col min="14601" max="14601" width="15.28515625" style="243" customWidth="1"/>
    <col min="14602" max="14602" width="18.5703125" style="243" customWidth="1"/>
    <col min="14603" max="14603" width="15.140625" style="243" customWidth="1"/>
    <col min="14604" max="14847" width="9.140625" style="243"/>
    <col min="14848" max="14848" width="5.7109375" style="243" customWidth="1"/>
    <col min="14849" max="14849" width="110.7109375" style="243" customWidth="1"/>
    <col min="14850" max="14850" width="11.42578125" style="243" customWidth="1"/>
    <col min="14851" max="14851" width="10.42578125" style="243" customWidth="1"/>
    <col min="14852" max="14852" width="14" style="243" customWidth="1"/>
    <col min="14853" max="14853" width="15.140625" style="243" customWidth="1"/>
    <col min="14854" max="14854" width="14.140625" style="243" customWidth="1"/>
    <col min="14855" max="14855" width="14.5703125" style="243" customWidth="1"/>
    <col min="14856" max="14856" width="16.42578125" style="243" customWidth="1"/>
    <col min="14857" max="14857" width="15.28515625" style="243" customWidth="1"/>
    <col min="14858" max="14858" width="18.5703125" style="243" customWidth="1"/>
    <col min="14859" max="14859" width="15.140625" style="243" customWidth="1"/>
    <col min="14860" max="15103" width="9.140625" style="243"/>
    <col min="15104" max="15104" width="5.7109375" style="243" customWidth="1"/>
    <col min="15105" max="15105" width="110.7109375" style="243" customWidth="1"/>
    <col min="15106" max="15106" width="11.42578125" style="243" customWidth="1"/>
    <col min="15107" max="15107" width="10.42578125" style="243" customWidth="1"/>
    <col min="15108" max="15108" width="14" style="243" customWidth="1"/>
    <col min="15109" max="15109" width="15.140625" style="243" customWidth="1"/>
    <col min="15110" max="15110" width="14.140625" style="243" customWidth="1"/>
    <col min="15111" max="15111" width="14.5703125" style="243" customWidth="1"/>
    <col min="15112" max="15112" width="16.42578125" style="243" customWidth="1"/>
    <col min="15113" max="15113" width="15.28515625" style="243" customWidth="1"/>
    <col min="15114" max="15114" width="18.5703125" style="243" customWidth="1"/>
    <col min="15115" max="15115" width="15.140625" style="243" customWidth="1"/>
    <col min="15116" max="15359" width="9.140625" style="243"/>
    <col min="15360" max="15360" width="5.7109375" style="243" customWidth="1"/>
    <col min="15361" max="15361" width="110.7109375" style="243" customWidth="1"/>
    <col min="15362" max="15362" width="11.42578125" style="243" customWidth="1"/>
    <col min="15363" max="15363" width="10.42578125" style="243" customWidth="1"/>
    <col min="15364" max="15364" width="14" style="243" customWidth="1"/>
    <col min="15365" max="15365" width="15.140625" style="243" customWidth="1"/>
    <col min="15366" max="15366" width="14.140625" style="243" customWidth="1"/>
    <col min="15367" max="15367" width="14.5703125" style="243" customWidth="1"/>
    <col min="15368" max="15368" width="16.42578125" style="243" customWidth="1"/>
    <col min="15369" max="15369" width="15.28515625" style="243" customWidth="1"/>
    <col min="15370" max="15370" width="18.5703125" style="243" customWidth="1"/>
    <col min="15371" max="15371" width="15.140625" style="243" customWidth="1"/>
    <col min="15372" max="15615" width="9.140625" style="243"/>
    <col min="15616" max="15616" width="5.7109375" style="243" customWidth="1"/>
    <col min="15617" max="15617" width="110.7109375" style="243" customWidth="1"/>
    <col min="15618" max="15618" width="11.42578125" style="243" customWidth="1"/>
    <col min="15619" max="15619" width="10.42578125" style="243" customWidth="1"/>
    <col min="15620" max="15620" width="14" style="243" customWidth="1"/>
    <col min="15621" max="15621" width="15.140625" style="243" customWidth="1"/>
    <col min="15622" max="15622" width="14.140625" style="243" customWidth="1"/>
    <col min="15623" max="15623" width="14.5703125" style="243" customWidth="1"/>
    <col min="15624" max="15624" width="16.42578125" style="243" customWidth="1"/>
    <col min="15625" max="15625" width="15.28515625" style="243" customWidth="1"/>
    <col min="15626" max="15626" width="18.5703125" style="243" customWidth="1"/>
    <col min="15627" max="15627" width="15.140625" style="243" customWidth="1"/>
    <col min="15628" max="15871" width="9.140625" style="243"/>
    <col min="15872" max="15872" width="5.7109375" style="243" customWidth="1"/>
    <col min="15873" max="15873" width="110.7109375" style="243" customWidth="1"/>
    <col min="15874" max="15874" width="11.42578125" style="243" customWidth="1"/>
    <col min="15875" max="15875" width="10.42578125" style="243" customWidth="1"/>
    <col min="15876" max="15876" width="14" style="243" customWidth="1"/>
    <col min="15877" max="15877" width="15.140625" style="243" customWidth="1"/>
    <col min="15878" max="15878" width="14.140625" style="243" customWidth="1"/>
    <col min="15879" max="15879" width="14.5703125" style="243" customWidth="1"/>
    <col min="15880" max="15880" width="16.42578125" style="243" customWidth="1"/>
    <col min="15881" max="15881" width="15.28515625" style="243" customWidth="1"/>
    <col min="15882" max="15882" width="18.5703125" style="243" customWidth="1"/>
    <col min="15883" max="15883" width="15.140625" style="243" customWidth="1"/>
    <col min="15884" max="16127" width="9.140625" style="243"/>
    <col min="16128" max="16128" width="5.7109375" style="243" customWidth="1"/>
    <col min="16129" max="16129" width="110.7109375" style="243" customWidth="1"/>
    <col min="16130" max="16130" width="11.42578125" style="243" customWidth="1"/>
    <col min="16131" max="16131" width="10.42578125" style="243" customWidth="1"/>
    <col min="16132" max="16132" width="14" style="243" customWidth="1"/>
    <col min="16133" max="16133" width="15.140625" style="243" customWidth="1"/>
    <col min="16134" max="16134" width="14.140625" style="243" customWidth="1"/>
    <col min="16135" max="16135" width="14.5703125" style="243" customWidth="1"/>
    <col min="16136" max="16136" width="16.42578125" style="243" customWidth="1"/>
    <col min="16137" max="16137" width="15.28515625" style="243" customWidth="1"/>
    <col min="16138" max="16138" width="18.5703125" style="243" customWidth="1"/>
    <col min="16139" max="16139" width="15.140625" style="243" customWidth="1"/>
    <col min="16140" max="16384" width="9.140625" style="243"/>
  </cols>
  <sheetData>
    <row r="1" spans="1:11">
      <c r="A1" s="247"/>
      <c r="B1" s="244"/>
    </row>
    <row r="2" spans="1:11" ht="21">
      <c r="A2" s="247"/>
      <c r="B2" s="244"/>
      <c r="E2" s="248" t="s">
        <v>449</v>
      </c>
    </row>
    <row r="3" spans="1:11" ht="15">
      <c r="A3" s="247"/>
      <c r="B3" s="244"/>
      <c r="E3" s="249" t="s">
        <v>450</v>
      </c>
    </row>
    <row r="4" spans="1:11" ht="15">
      <c r="B4" s="251"/>
      <c r="C4" s="252"/>
      <c r="D4" s="252"/>
      <c r="E4" s="251"/>
      <c r="F4" s="251"/>
      <c r="G4" s="251"/>
      <c r="H4" s="251"/>
      <c r="I4" s="251"/>
      <c r="J4" s="251"/>
      <c r="K4" s="251"/>
    </row>
    <row r="5" spans="1:11" ht="15.75" thickBot="1">
      <c r="A5" s="251" t="s">
        <v>451</v>
      </c>
      <c r="B5" s="251"/>
      <c r="C5" s="252"/>
      <c r="D5" s="252"/>
      <c r="E5" s="251"/>
      <c r="F5" s="251"/>
      <c r="G5" s="251"/>
      <c r="H5" s="251"/>
      <c r="I5" s="251"/>
      <c r="J5" s="251"/>
      <c r="K5" s="251"/>
    </row>
    <row r="6" spans="1:11" ht="29.25" customHeight="1">
      <c r="A6" s="465" t="s">
        <v>166</v>
      </c>
      <c r="B6" s="467" t="s">
        <v>452</v>
      </c>
      <c r="C6" s="469" t="s">
        <v>453</v>
      </c>
      <c r="D6" s="471" t="s">
        <v>454</v>
      </c>
      <c r="E6" s="473" t="s">
        <v>455</v>
      </c>
      <c r="F6" s="463"/>
      <c r="G6" s="474" t="s">
        <v>456</v>
      </c>
      <c r="H6" s="474"/>
      <c r="I6" s="462" t="s">
        <v>457</v>
      </c>
      <c r="J6" s="462"/>
      <c r="K6" s="463" t="s">
        <v>458</v>
      </c>
    </row>
    <row r="7" spans="1:11" ht="29.25" customHeight="1" thickBot="1">
      <c r="A7" s="466"/>
      <c r="B7" s="468"/>
      <c r="C7" s="470"/>
      <c r="D7" s="472"/>
      <c r="E7" s="253" t="s">
        <v>459</v>
      </c>
      <c r="F7" s="254" t="s">
        <v>460</v>
      </c>
      <c r="G7" s="255" t="s">
        <v>461</v>
      </c>
      <c r="H7" s="256" t="s">
        <v>462</v>
      </c>
      <c r="I7" s="257" t="s">
        <v>463</v>
      </c>
      <c r="J7" s="258" t="s">
        <v>464</v>
      </c>
      <c r="K7" s="464"/>
    </row>
    <row r="8" spans="1:11" s="263" customFormat="1" ht="15.95" customHeight="1">
      <c r="A8" s="259" t="s">
        <v>465</v>
      </c>
      <c r="B8" s="260"/>
      <c r="C8" s="260"/>
      <c r="D8" s="260"/>
      <c r="E8" s="261"/>
      <c r="F8" s="261"/>
      <c r="G8" s="261"/>
      <c r="H8" s="261"/>
      <c r="I8" s="261"/>
      <c r="J8" s="262"/>
      <c r="K8" s="262"/>
    </row>
    <row r="9" spans="1:11" s="263" customFormat="1" ht="15.95" customHeight="1">
      <c r="A9" s="264">
        <v>1</v>
      </c>
      <c r="B9" s="265" t="s">
        <v>466</v>
      </c>
      <c r="C9" s="266">
        <v>100</v>
      </c>
      <c r="D9" s="267" t="s">
        <v>467</v>
      </c>
      <c r="E9" s="268"/>
      <c r="F9" s="269">
        <f t="shared" ref="F9:F23" si="0">E9*C9</f>
        <v>0</v>
      </c>
      <c r="G9" s="268"/>
      <c r="H9" s="269">
        <f t="shared" ref="H9:H23" si="1">G9*C9</f>
        <v>0</v>
      </c>
      <c r="I9" s="269"/>
      <c r="J9" s="269">
        <f t="shared" ref="J9:J23" si="2">I9*C9</f>
        <v>0</v>
      </c>
      <c r="K9" s="269">
        <f t="shared" ref="K9:K23" si="3">J9+H9+F9</f>
        <v>0</v>
      </c>
    </row>
    <row r="10" spans="1:11" s="263" customFormat="1" ht="15.95" customHeight="1">
      <c r="A10" s="264">
        <v>2</v>
      </c>
      <c r="B10" s="265" t="s">
        <v>468</v>
      </c>
      <c r="C10" s="266">
        <v>8500</v>
      </c>
      <c r="D10" s="267" t="s">
        <v>467</v>
      </c>
      <c r="E10" s="268"/>
      <c r="F10" s="269">
        <f t="shared" si="0"/>
        <v>0</v>
      </c>
      <c r="G10" s="268"/>
      <c r="H10" s="269">
        <f t="shared" si="1"/>
        <v>0</v>
      </c>
      <c r="I10" s="269"/>
      <c r="J10" s="269">
        <f t="shared" si="2"/>
        <v>0</v>
      </c>
      <c r="K10" s="269">
        <f t="shared" si="3"/>
        <v>0</v>
      </c>
    </row>
    <row r="11" spans="1:11" s="263" customFormat="1" ht="15.95" customHeight="1">
      <c r="A11" s="264">
        <v>3</v>
      </c>
      <c r="B11" s="265" t="s">
        <v>469</v>
      </c>
      <c r="C11" s="266">
        <v>1</v>
      </c>
      <c r="D11" s="267" t="s">
        <v>470</v>
      </c>
      <c r="E11" s="268"/>
      <c r="F11" s="269">
        <f t="shared" si="0"/>
        <v>0</v>
      </c>
      <c r="G11" s="268"/>
      <c r="H11" s="269">
        <f t="shared" si="1"/>
        <v>0</v>
      </c>
      <c r="I11" s="269"/>
      <c r="J11" s="269">
        <f t="shared" si="2"/>
        <v>0</v>
      </c>
      <c r="K11" s="269">
        <f t="shared" si="3"/>
        <v>0</v>
      </c>
    </row>
    <row r="12" spans="1:11" s="263" customFormat="1" ht="15.95" customHeight="1">
      <c r="A12" s="264">
        <v>4</v>
      </c>
      <c r="B12" s="265" t="s">
        <v>471</v>
      </c>
      <c r="C12" s="266">
        <v>2</v>
      </c>
      <c r="D12" s="267" t="s">
        <v>470</v>
      </c>
      <c r="E12" s="268"/>
      <c r="F12" s="269">
        <f t="shared" si="0"/>
        <v>0</v>
      </c>
      <c r="G12" s="268"/>
      <c r="H12" s="269">
        <f t="shared" si="1"/>
        <v>0</v>
      </c>
      <c r="I12" s="269"/>
      <c r="J12" s="269">
        <f t="shared" si="2"/>
        <v>0</v>
      </c>
      <c r="K12" s="269">
        <f t="shared" si="3"/>
        <v>0</v>
      </c>
    </row>
    <row r="13" spans="1:11" s="263" customFormat="1" ht="15.95" customHeight="1">
      <c r="A13" s="264">
        <v>5</v>
      </c>
      <c r="B13" s="265" t="s">
        <v>472</v>
      </c>
      <c r="C13" s="266">
        <v>1</v>
      </c>
      <c r="D13" s="267" t="s">
        <v>473</v>
      </c>
      <c r="E13" s="268"/>
      <c r="F13" s="269">
        <f t="shared" si="0"/>
        <v>0</v>
      </c>
      <c r="G13" s="268"/>
      <c r="H13" s="269">
        <f t="shared" si="1"/>
        <v>0</v>
      </c>
      <c r="I13" s="269"/>
      <c r="J13" s="269">
        <f t="shared" si="2"/>
        <v>0</v>
      </c>
      <c r="K13" s="269">
        <f t="shared" si="3"/>
        <v>0</v>
      </c>
    </row>
    <row r="14" spans="1:11" s="263" customFormat="1" ht="15.95" customHeight="1">
      <c r="A14" s="264">
        <v>6</v>
      </c>
      <c r="B14" s="265" t="s">
        <v>474</v>
      </c>
      <c r="C14" s="266">
        <v>2</v>
      </c>
      <c r="D14" s="267" t="s">
        <v>473</v>
      </c>
      <c r="E14" s="268"/>
      <c r="F14" s="269">
        <f t="shared" si="0"/>
        <v>0</v>
      </c>
      <c r="G14" s="268"/>
      <c r="H14" s="269">
        <f t="shared" si="1"/>
        <v>0</v>
      </c>
      <c r="I14" s="269"/>
      <c r="J14" s="269">
        <f t="shared" si="2"/>
        <v>0</v>
      </c>
      <c r="K14" s="269">
        <f t="shared" si="3"/>
        <v>0</v>
      </c>
    </row>
    <row r="15" spans="1:11" s="263" customFormat="1" ht="15.95" customHeight="1">
      <c r="A15" s="264">
        <v>7</v>
      </c>
      <c r="B15" s="265" t="s">
        <v>475</v>
      </c>
      <c r="C15" s="266">
        <v>3</v>
      </c>
      <c r="D15" s="267" t="s">
        <v>473</v>
      </c>
      <c r="E15" s="268"/>
      <c r="F15" s="269">
        <f t="shared" si="0"/>
        <v>0</v>
      </c>
      <c r="G15" s="268"/>
      <c r="H15" s="269">
        <f t="shared" si="1"/>
        <v>0</v>
      </c>
      <c r="I15" s="269"/>
      <c r="J15" s="269">
        <f t="shared" si="2"/>
        <v>0</v>
      </c>
      <c r="K15" s="269">
        <f t="shared" si="3"/>
        <v>0</v>
      </c>
    </row>
    <row r="16" spans="1:11" s="263" customFormat="1" ht="15.95" customHeight="1">
      <c r="A16" s="264">
        <v>8</v>
      </c>
      <c r="B16" s="265" t="s">
        <v>476</v>
      </c>
      <c r="C16" s="266">
        <v>3</v>
      </c>
      <c r="D16" s="267" t="s">
        <v>473</v>
      </c>
      <c r="E16" s="268"/>
      <c r="F16" s="269">
        <f t="shared" si="0"/>
        <v>0</v>
      </c>
      <c r="G16" s="268"/>
      <c r="H16" s="269">
        <f t="shared" si="1"/>
        <v>0</v>
      </c>
      <c r="I16" s="269"/>
      <c r="J16" s="269">
        <f t="shared" si="2"/>
        <v>0</v>
      </c>
      <c r="K16" s="269">
        <f t="shared" si="3"/>
        <v>0</v>
      </c>
    </row>
    <row r="17" spans="1:11" s="263" customFormat="1" ht="15.95" customHeight="1">
      <c r="A17" s="264">
        <v>9</v>
      </c>
      <c r="B17" s="265" t="s">
        <v>476</v>
      </c>
      <c r="C17" s="266">
        <v>6</v>
      </c>
      <c r="D17" s="267" t="s">
        <v>473</v>
      </c>
      <c r="E17" s="268"/>
      <c r="F17" s="269">
        <f t="shared" si="0"/>
        <v>0</v>
      </c>
      <c r="G17" s="268"/>
      <c r="H17" s="269">
        <f t="shared" si="1"/>
        <v>0</v>
      </c>
      <c r="I17" s="269"/>
      <c r="J17" s="269">
        <f t="shared" si="2"/>
        <v>0</v>
      </c>
      <c r="K17" s="269">
        <f t="shared" si="3"/>
        <v>0</v>
      </c>
    </row>
    <row r="18" spans="1:11" s="263" customFormat="1" ht="32.1" customHeight="1">
      <c r="A18" s="264">
        <v>10</v>
      </c>
      <c r="B18" s="265" t="s">
        <v>477</v>
      </c>
      <c r="C18" s="266">
        <v>3</v>
      </c>
      <c r="D18" s="267" t="s">
        <v>473</v>
      </c>
      <c r="E18" s="268"/>
      <c r="F18" s="269">
        <f t="shared" si="0"/>
        <v>0</v>
      </c>
      <c r="G18" s="268"/>
      <c r="H18" s="269">
        <f t="shared" si="1"/>
        <v>0</v>
      </c>
      <c r="I18" s="269"/>
      <c r="J18" s="269">
        <f t="shared" si="2"/>
        <v>0</v>
      </c>
      <c r="K18" s="269">
        <f t="shared" si="3"/>
        <v>0</v>
      </c>
    </row>
    <row r="19" spans="1:11" s="270" customFormat="1" ht="32.1" customHeight="1">
      <c r="A19" s="264">
        <v>11</v>
      </c>
      <c r="B19" s="265" t="s">
        <v>478</v>
      </c>
      <c r="C19" s="266">
        <v>3</v>
      </c>
      <c r="D19" s="267" t="s">
        <v>473</v>
      </c>
      <c r="E19" s="268"/>
      <c r="F19" s="269">
        <f t="shared" si="0"/>
        <v>0</v>
      </c>
      <c r="G19" s="268"/>
      <c r="H19" s="269">
        <f t="shared" si="1"/>
        <v>0</v>
      </c>
      <c r="I19" s="269"/>
      <c r="J19" s="269">
        <f t="shared" si="2"/>
        <v>0</v>
      </c>
      <c r="K19" s="269">
        <f t="shared" si="3"/>
        <v>0</v>
      </c>
    </row>
    <row r="20" spans="1:11" s="263" customFormat="1" ht="15.95" customHeight="1">
      <c r="A20" s="264">
        <v>12</v>
      </c>
      <c r="B20" s="265" t="s">
        <v>479</v>
      </c>
      <c r="C20" s="266">
        <v>154</v>
      </c>
      <c r="D20" s="267" t="s">
        <v>473</v>
      </c>
      <c r="E20" s="268"/>
      <c r="F20" s="269">
        <f t="shared" si="0"/>
        <v>0</v>
      </c>
      <c r="G20" s="268"/>
      <c r="H20" s="269">
        <f t="shared" si="1"/>
        <v>0</v>
      </c>
      <c r="I20" s="269"/>
      <c r="J20" s="269">
        <f t="shared" si="2"/>
        <v>0</v>
      </c>
      <c r="K20" s="269">
        <f t="shared" si="3"/>
        <v>0</v>
      </c>
    </row>
    <row r="21" spans="1:11" s="263" customFormat="1" ht="12.75" customHeight="1">
      <c r="A21" s="264">
        <v>13</v>
      </c>
      <c r="B21" s="265" t="s">
        <v>480</v>
      </c>
      <c r="C21" s="266">
        <v>4</v>
      </c>
      <c r="D21" s="267" t="s">
        <v>473</v>
      </c>
      <c r="E21" s="268"/>
      <c r="F21" s="269">
        <f t="shared" si="0"/>
        <v>0</v>
      </c>
      <c r="G21" s="268"/>
      <c r="H21" s="269">
        <f t="shared" si="1"/>
        <v>0</v>
      </c>
      <c r="I21" s="269"/>
      <c r="J21" s="269">
        <f t="shared" si="2"/>
        <v>0</v>
      </c>
      <c r="K21" s="269">
        <f t="shared" si="3"/>
        <v>0</v>
      </c>
    </row>
    <row r="22" spans="1:11" s="263" customFormat="1" ht="27" customHeight="1">
      <c r="A22" s="264">
        <v>14</v>
      </c>
      <c r="B22" s="265" t="s">
        <v>481</v>
      </c>
      <c r="C22" s="266">
        <v>20</v>
      </c>
      <c r="D22" s="267" t="s">
        <v>473</v>
      </c>
      <c r="E22" s="268"/>
      <c r="F22" s="269">
        <f t="shared" si="0"/>
        <v>0</v>
      </c>
      <c r="G22" s="268"/>
      <c r="H22" s="269">
        <f t="shared" si="1"/>
        <v>0</v>
      </c>
      <c r="I22" s="269"/>
      <c r="J22" s="269">
        <f t="shared" si="2"/>
        <v>0</v>
      </c>
      <c r="K22" s="269">
        <f t="shared" si="3"/>
        <v>0</v>
      </c>
    </row>
    <row r="23" spans="1:11" s="263" customFormat="1" ht="18" customHeight="1">
      <c r="A23" s="264">
        <v>14</v>
      </c>
      <c r="B23" s="265" t="s">
        <v>482</v>
      </c>
      <c r="C23" s="266">
        <v>1</v>
      </c>
      <c r="D23" s="267" t="s">
        <v>483</v>
      </c>
      <c r="E23" s="268"/>
      <c r="F23" s="269">
        <f t="shared" si="0"/>
        <v>0</v>
      </c>
      <c r="G23" s="268"/>
      <c r="H23" s="269">
        <f t="shared" si="1"/>
        <v>0</v>
      </c>
      <c r="I23" s="269"/>
      <c r="J23" s="269">
        <f t="shared" si="2"/>
        <v>0</v>
      </c>
      <c r="K23" s="269">
        <f t="shared" si="3"/>
        <v>0</v>
      </c>
    </row>
    <row r="24" spans="1:11" ht="15.95" customHeight="1">
      <c r="A24" s="259" t="s">
        <v>484</v>
      </c>
      <c r="B24" s="260"/>
      <c r="C24" s="260"/>
      <c r="D24" s="260"/>
      <c r="E24" s="262"/>
      <c r="F24" s="262"/>
      <c r="G24" s="262"/>
      <c r="H24" s="262"/>
      <c r="I24" s="262"/>
      <c r="J24" s="262"/>
      <c r="K24" s="262"/>
    </row>
    <row r="25" spans="1:11" s="263" customFormat="1" ht="15.95" customHeight="1">
      <c r="A25" s="264">
        <v>15</v>
      </c>
      <c r="B25" s="265" t="s">
        <v>466</v>
      </c>
      <c r="C25" s="266">
        <v>2500</v>
      </c>
      <c r="D25" s="267" t="s">
        <v>467</v>
      </c>
      <c r="E25" s="268"/>
      <c r="F25" s="269">
        <f t="shared" ref="F25:F35" si="4">E25*C25</f>
        <v>0</v>
      </c>
      <c r="G25" s="268"/>
      <c r="H25" s="269">
        <f t="shared" ref="H25:H35" si="5">G25*C25</f>
        <v>0</v>
      </c>
      <c r="I25" s="269"/>
      <c r="J25" s="269">
        <f t="shared" ref="J25:J35" si="6">I25*C25</f>
        <v>0</v>
      </c>
      <c r="K25" s="269">
        <f t="shared" ref="K25:K35" si="7">J25+H25+F25</f>
        <v>0</v>
      </c>
    </row>
    <row r="26" spans="1:11" s="263" customFormat="1" ht="15.95" customHeight="1">
      <c r="A26" s="264">
        <v>16</v>
      </c>
      <c r="B26" s="265" t="s">
        <v>485</v>
      </c>
      <c r="C26" s="266">
        <v>2</v>
      </c>
      <c r="D26" s="267" t="s">
        <v>473</v>
      </c>
      <c r="E26" s="268"/>
      <c r="F26" s="269">
        <f t="shared" si="4"/>
        <v>0</v>
      </c>
      <c r="G26" s="268"/>
      <c r="H26" s="269">
        <f t="shared" si="5"/>
        <v>0</v>
      </c>
      <c r="I26" s="269"/>
      <c r="J26" s="269">
        <f t="shared" si="6"/>
        <v>0</v>
      </c>
      <c r="K26" s="269">
        <f t="shared" si="7"/>
        <v>0</v>
      </c>
    </row>
    <row r="27" spans="1:11" s="263" customFormat="1" ht="15.95" customHeight="1">
      <c r="A27" s="264">
        <v>17</v>
      </c>
      <c r="B27" s="265" t="s">
        <v>486</v>
      </c>
      <c r="C27" s="266">
        <v>1</v>
      </c>
      <c r="D27" s="267" t="s">
        <v>473</v>
      </c>
      <c r="E27" s="268"/>
      <c r="F27" s="269">
        <f t="shared" si="4"/>
        <v>0</v>
      </c>
      <c r="G27" s="268"/>
      <c r="H27" s="269">
        <f t="shared" si="5"/>
        <v>0</v>
      </c>
      <c r="I27" s="269"/>
      <c r="J27" s="269">
        <f t="shared" si="6"/>
        <v>0</v>
      </c>
      <c r="K27" s="269">
        <f t="shared" si="7"/>
        <v>0</v>
      </c>
    </row>
    <row r="28" spans="1:11" s="263" customFormat="1" ht="15.95" customHeight="1">
      <c r="A28" s="264">
        <v>18</v>
      </c>
      <c r="B28" s="265" t="s">
        <v>487</v>
      </c>
      <c r="C28" s="266">
        <v>3</v>
      </c>
      <c r="D28" s="267" t="s">
        <v>473</v>
      </c>
      <c r="E28" s="268"/>
      <c r="F28" s="269">
        <f t="shared" si="4"/>
        <v>0</v>
      </c>
      <c r="G28" s="268"/>
      <c r="H28" s="269">
        <f t="shared" si="5"/>
        <v>0</v>
      </c>
      <c r="I28" s="269"/>
      <c r="J28" s="269">
        <f t="shared" si="6"/>
        <v>0</v>
      </c>
      <c r="K28" s="269">
        <f t="shared" si="7"/>
        <v>0</v>
      </c>
    </row>
    <row r="29" spans="1:11" s="263" customFormat="1" ht="15.95" customHeight="1">
      <c r="A29" s="264">
        <v>19</v>
      </c>
      <c r="B29" s="265" t="s">
        <v>476</v>
      </c>
      <c r="C29" s="266">
        <v>2</v>
      </c>
      <c r="D29" s="267" t="s">
        <v>473</v>
      </c>
      <c r="E29" s="268"/>
      <c r="F29" s="269">
        <f t="shared" si="4"/>
        <v>0</v>
      </c>
      <c r="G29" s="268"/>
      <c r="H29" s="269">
        <f t="shared" si="5"/>
        <v>0</v>
      </c>
      <c r="I29" s="269"/>
      <c r="J29" s="269">
        <f t="shared" si="6"/>
        <v>0</v>
      </c>
      <c r="K29" s="269">
        <f t="shared" si="7"/>
        <v>0</v>
      </c>
    </row>
    <row r="30" spans="1:11" s="263" customFormat="1" ht="15.95" customHeight="1">
      <c r="A30" s="264">
        <v>20</v>
      </c>
      <c r="B30" s="265" t="s">
        <v>476</v>
      </c>
      <c r="C30" s="266">
        <v>2</v>
      </c>
      <c r="D30" s="267" t="s">
        <v>473</v>
      </c>
      <c r="E30" s="268"/>
      <c r="F30" s="269">
        <f t="shared" si="4"/>
        <v>0</v>
      </c>
      <c r="G30" s="268"/>
      <c r="H30" s="269">
        <f t="shared" si="5"/>
        <v>0</v>
      </c>
      <c r="I30" s="269"/>
      <c r="J30" s="269">
        <f t="shared" si="6"/>
        <v>0</v>
      </c>
      <c r="K30" s="269">
        <f t="shared" si="7"/>
        <v>0</v>
      </c>
    </row>
    <row r="31" spans="1:11" s="263" customFormat="1" ht="32.1" customHeight="1">
      <c r="A31" s="264">
        <v>21</v>
      </c>
      <c r="B31" s="265" t="s">
        <v>488</v>
      </c>
      <c r="C31" s="266">
        <v>2</v>
      </c>
      <c r="D31" s="267" t="s">
        <v>473</v>
      </c>
      <c r="E31" s="268"/>
      <c r="F31" s="269">
        <f t="shared" si="4"/>
        <v>0</v>
      </c>
      <c r="G31" s="268"/>
      <c r="H31" s="269">
        <f t="shared" si="5"/>
        <v>0</v>
      </c>
      <c r="I31" s="269"/>
      <c r="J31" s="269">
        <f t="shared" si="6"/>
        <v>0</v>
      </c>
      <c r="K31" s="269">
        <f t="shared" si="7"/>
        <v>0</v>
      </c>
    </row>
    <row r="32" spans="1:11" s="263" customFormat="1" ht="32.1" customHeight="1">
      <c r="A32" s="264">
        <v>22</v>
      </c>
      <c r="B32" s="265" t="s">
        <v>489</v>
      </c>
      <c r="C32" s="266">
        <v>1</v>
      </c>
      <c r="D32" s="267" t="s">
        <v>473</v>
      </c>
      <c r="E32" s="268"/>
      <c r="F32" s="269">
        <f t="shared" si="4"/>
        <v>0</v>
      </c>
      <c r="G32" s="268"/>
      <c r="H32" s="269">
        <f t="shared" si="5"/>
        <v>0</v>
      </c>
      <c r="I32" s="269"/>
      <c r="J32" s="269">
        <f t="shared" si="6"/>
        <v>0</v>
      </c>
      <c r="K32" s="269">
        <f t="shared" si="7"/>
        <v>0</v>
      </c>
    </row>
    <row r="33" spans="1:11" s="263" customFormat="1" ht="15.95" customHeight="1">
      <c r="A33" s="264">
        <v>23</v>
      </c>
      <c r="B33" s="265" t="s">
        <v>490</v>
      </c>
      <c r="C33" s="266">
        <v>30</v>
      </c>
      <c r="D33" s="267" t="s">
        <v>473</v>
      </c>
      <c r="E33" s="268"/>
      <c r="F33" s="269">
        <f t="shared" si="4"/>
        <v>0</v>
      </c>
      <c r="G33" s="268"/>
      <c r="H33" s="269">
        <f t="shared" si="5"/>
        <v>0</v>
      </c>
      <c r="I33" s="269"/>
      <c r="J33" s="269">
        <f t="shared" si="6"/>
        <v>0</v>
      </c>
      <c r="K33" s="269">
        <f t="shared" si="7"/>
        <v>0</v>
      </c>
    </row>
    <row r="34" spans="1:11" s="263" customFormat="1" ht="15.95" customHeight="1">
      <c r="A34" s="264">
        <v>24</v>
      </c>
      <c r="B34" s="265" t="s">
        <v>491</v>
      </c>
      <c r="C34" s="266">
        <v>15</v>
      </c>
      <c r="D34" s="267" t="s">
        <v>473</v>
      </c>
      <c r="E34" s="268"/>
      <c r="F34" s="269">
        <f t="shared" si="4"/>
        <v>0</v>
      </c>
      <c r="G34" s="268"/>
      <c r="H34" s="269">
        <f t="shared" si="5"/>
        <v>0</v>
      </c>
      <c r="I34" s="269"/>
      <c r="J34" s="269">
        <f t="shared" si="6"/>
        <v>0</v>
      </c>
      <c r="K34" s="269">
        <f t="shared" si="7"/>
        <v>0</v>
      </c>
    </row>
    <row r="35" spans="1:11" s="263" customFormat="1" ht="20.25" customHeight="1">
      <c r="A35" s="264">
        <v>24</v>
      </c>
      <c r="B35" s="265" t="s">
        <v>482</v>
      </c>
      <c r="C35" s="266">
        <v>1</v>
      </c>
      <c r="D35" s="267" t="s">
        <v>483</v>
      </c>
      <c r="E35" s="268"/>
      <c r="F35" s="269">
        <f t="shared" si="4"/>
        <v>0</v>
      </c>
      <c r="G35" s="268"/>
      <c r="H35" s="269">
        <f t="shared" si="5"/>
        <v>0</v>
      </c>
      <c r="I35" s="269"/>
      <c r="J35" s="269">
        <f t="shared" si="6"/>
        <v>0</v>
      </c>
      <c r="K35" s="269">
        <f t="shared" si="7"/>
        <v>0</v>
      </c>
    </row>
    <row r="36" spans="1:11" s="263" customFormat="1" ht="15.95" customHeight="1">
      <c r="A36" s="271" t="s">
        <v>492</v>
      </c>
      <c r="B36" s="272"/>
      <c r="C36" s="273"/>
      <c r="D36" s="272"/>
      <c r="E36" s="262"/>
      <c r="F36" s="262"/>
      <c r="G36" s="262"/>
      <c r="H36" s="262"/>
      <c r="I36" s="262"/>
      <c r="J36" s="262"/>
      <c r="K36" s="262"/>
    </row>
    <row r="37" spans="1:11" s="263" customFormat="1" ht="15.95" customHeight="1">
      <c r="A37" s="264">
        <v>25</v>
      </c>
      <c r="B37" s="265" t="s">
        <v>493</v>
      </c>
      <c r="C37" s="266">
        <v>2000</v>
      </c>
      <c r="D37" s="267" t="s">
        <v>467</v>
      </c>
      <c r="E37" s="268"/>
      <c r="F37" s="269">
        <f t="shared" ref="F37:F44" si="8">E37*C37</f>
        <v>0</v>
      </c>
      <c r="G37" s="268"/>
      <c r="H37" s="269">
        <f t="shared" ref="H37:H44" si="9">G37*C37</f>
        <v>0</v>
      </c>
      <c r="I37" s="269"/>
      <c r="J37" s="269">
        <f>I37*C37</f>
        <v>0</v>
      </c>
      <c r="K37" s="269">
        <f>J37+H37+F37</f>
        <v>0</v>
      </c>
    </row>
    <row r="38" spans="1:11" s="263" customFormat="1" ht="15.95" customHeight="1">
      <c r="A38" s="264">
        <v>26</v>
      </c>
      <c r="B38" s="265" t="s">
        <v>494</v>
      </c>
      <c r="C38" s="266">
        <v>1</v>
      </c>
      <c r="D38" s="267" t="s">
        <v>473</v>
      </c>
      <c r="E38" s="274"/>
      <c r="F38" s="269">
        <f t="shared" si="8"/>
        <v>0</v>
      </c>
      <c r="G38" s="275"/>
      <c r="H38" s="269">
        <f t="shared" si="9"/>
        <v>0</v>
      </c>
      <c r="I38" s="269"/>
      <c r="J38" s="269">
        <f t="shared" ref="J38:J44" si="10">I38*C38</f>
        <v>0</v>
      </c>
      <c r="K38" s="269">
        <f t="shared" ref="K38:K44" si="11">J38+H38+F38</f>
        <v>0</v>
      </c>
    </row>
    <row r="39" spans="1:11" s="263" customFormat="1" ht="15.95" customHeight="1">
      <c r="A39" s="264">
        <v>27</v>
      </c>
      <c r="B39" s="265" t="s">
        <v>495</v>
      </c>
      <c r="C39" s="266">
        <v>3</v>
      </c>
      <c r="D39" s="267" t="s">
        <v>473</v>
      </c>
      <c r="E39" s="274"/>
      <c r="F39" s="269">
        <f t="shared" si="8"/>
        <v>0</v>
      </c>
      <c r="G39" s="275"/>
      <c r="H39" s="269">
        <f t="shared" si="9"/>
        <v>0</v>
      </c>
      <c r="I39" s="269"/>
      <c r="J39" s="269">
        <f t="shared" si="10"/>
        <v>0</v>
      </c>
      <c r="K39" s="269">
        <f t="shared" si="11"/>
        <v>0</v>
      </c>
    </row>
    <row r="40" spans="1:11" s="263" customFormat="1" ht="15.95" customHeight="1">
      <c r="A40" s="264">
        <v>28</v>
      </c>
      <c r="B40" s="276" t="s">
        <v>496</v>
      </c>
      <c r="C40" s="266">
        <v>1</v>
      </c>
      <c r="D40" s="267" t="s">
        <v>473</v>
      </c>
      <c r="E40" s="274"/>
      <c r="F40" s="269">
        <f t="shared" si="8"/>
        <v>0</v>
      </c>
      <c r="G40" s="275"/>
      <c r="H40" s="269">
        <f t="shared" si="9"/>
        <v>0</v>
      </c>
      <c r="I40" s="269"/>
      <c r="J40" s="269">
        <f t="shared" si="10"/>
        <v>0</v>
      </c>
      <c r="K40" s="269">
        <f t="shared" si="11"/>
        <v>0</v>
      </c>
    </row>
    <row r="41" spans="1:11" s="263" customFormat="1" ht="15.95" customHeight="1">
      <c r="A41" s="264">
        <v>29</v>
      </c>
      <c r="B41" s="265" t="s">
        <v>497</v>
      </c>
      <c r="C41" s="266">
        <v>1</v>
      </c>
      <c r="D41" s="267" t="s">
        <v>473</v>
      </c>
      <c r="E41" s="274"/>
      <c r="F41" s="269">
        <f t="shared" si="8"/>
        <v>0</v>
      </c>
      <c r="G41" s="275"/>
      <c r="H41" s="269">
        <f t="shared" si="9"/>
        <v>0</v>
      </c>
      <c r="I41" s="269"/>
      <c r="J41" s="269">
        <f t="shared" si="10"/>
        <v>0</v>
      </c>
      <c r="K41" s="269">
        <f t="shared" si="11"/>
        <v>0</v>
      </c>
    </row>
    <row r="42" spans="1:11" s="263" customFormat="1" ht="15.95" customHeight="1">
      <c r="A42" s="264">
        <v>30</v>
      </c>
      <c r="B42" s="265" t="s">
        <v>498</v>
      </c>
      <c r="C42" s="266">
        <v>3</v>
      </c>
      <c r="D42" s="267" t="s">
        <v>473</v>
      </c>
      <c r="E42" s="274"/>
      <c r="F42" s="269">
        <f t="shared" si="8"/>
        <v>0</v>
      </c>
      <c r="G42" s="275"/>
      <c r="H42" s="269">
        <f t="shared" si="9"/>
        <v>0</v>
      </c>
      <c r="I42" s="269"/>
      <c r="J42" s="269">
        <f t="shared" si="10"/>
        <v>0</v>
      </c>
      <c r="K42" s="269">
        <f t="shared" si="11"/>
        <v>0</v>
      </c>
    </row>
    <row r="43" spans="1:11" s="263" customFormat="1" ht="15.95" customHeight="1">
      <c r="A43" s="264">
        <v>31</v>
      </c>
      <c r="B43" s="265" t="s">
        <v>499</v>
      </c>
      <c r="C43" s="266">
        <v>152</v>
      </c>
      <c r="D43" s="267" t="s">
        <v>473</v>
      </c>
      <c r="E43" s="274"/>
      <c r="F43" s="269">
        <f t="shared" si="8"/>
        <v>0</v>
      </c>
      <c r="G43" s="275"/>
      <c r="H43" s="269">
        <f t="shared" si="9"/>
        <v>0</v>
      </c>
      <c r="I43" s="269"/>
      <c r="J43" s="269">
        <f t="shared" si="10"/>
        <v>0</v>
      </c>
      <c r="K43" s="269">
        <f t="shared" si="11"/>
        <v>0</v>
      </c>
    </row>
    <row r="44" spans="1:11" s="263" customFormat="1" ht="16.5" customHeight="1">
      <c r="A44" s="264">
        <v>31</v>
      </c>
      <c r="B44" s="277" t="s">
        <v>482</v>
      </c>
      <c r="C44" s="278">
        <v>1</v>
      </c>
      <c r="D44" s="279" t="s">
        <v>483</v>
      </c>
      <c r="E44" s="274"/>
      <c r="F44" s="269">
        <f t="shared" si="8"/>
        <v>0</v>
      </c>
      <c r="G44" s="275"/>
      <c r="H44" s="269">
        <f t="shared" si="9"/>
        <v>0</v>
      </c>
      <c r="I44" s="269"/>
      <c r="J44" s="269">
        <f t="shared" si="10"/>
        <v>0</v>
      </c>
      <c r="K44" s="269">
        <f t="shared" si="11"/>
        <v>0</v>
      </c>
    </row>
    <row r="45" spans="1:11" s="263" customFormat="1" ht="15.95" customHeight="1">
      <c r="A45" s="259" t="s">
        <v>500</v>
      </c>
      <c r="B45" s="260"/>
      <c r="C45" s="260"/>
      <c r="D45" s="260"/>
      <c r="E45" s="262"/>
      <c r="F45" s="262"/>
      <c r="G45" s="262"/>
      <c r="H45" s="262"/>
      <c r="I45" s="262"/>
      <c r="J45" s="262"/>
      <c r="K45" s="262"/>
    </row>
    <row r="46" spans="1:11" s="263" customFormat="1" ht="15.95" customHeight="1">
      <c r="A46" s="280">
        <v>32</v>
      </c>
      <c r="B46" s="281" t="s">
        <v>501</v>
      </c>
      <c r="C46" s="282">
        <v>4800</v>
      </c>
      <c r="D46" s="283" t="s">
        <v>467</v>
      </c>
      <c r="E46" s="269"/>
      <c r="F46" s="269">
        <f t="shared" ref="F46:F67" si="12">E46*C46</f>
        <v>0</v>
      </c>
      <c r="G46" s="269"/>
      <c r="H46" s="269">
        <f t="shared" ref="H46:H67" si="13">G46*C46</f>
        <v>0</v>
      </c>
      <c r="I46" s="269"/>
      <c r="J46" s="269">
        <f>I46*C46</f>
        <v>0</v>
      </c>
      <c r="K46" s="269">
        <f>J46+H46+F46</f>
        <v>0</v>
      </c>
    </row>
    <row r="47" spans="1:11" s="263" customFormat="1" ht="15.95" customHeight="1">
      <c r="A47" s="280">
        <v>33</v>
      </c>
      <c r="B47" s="281" t="s">
        <v>502</v>
      </c>
      <c r="C47" s="282">
        <v>1</v>
      </c>
      <c r="D47" s="283" t="s">
        <v>470</v>
      </c>
      <c r="E47" s="269"/>
      <c r="F47" s="269">
        <f t="shared" si="12"/>
        <v>0</v>
      </c>
      <c r="G47" s="269"/>
      <c r="H47" s="269">
        <f t="shared" si="13"/>
        <v>0</v>
      </c>
      <c r="I47" s="269"/>
      <c r="J47" s="269">
        <f t="shared" ref="J47:J56" si="14">I47*C47</f>
        <v>0</v>
      </c>
      <c r="K47" s="269">
        <f t="shared" ref="K47:K56" si="15">J47+H47+F47</f>
        <v>0</v>
      </c>
    </row>
    <row r="48" spans="1:11" s="263" customFormat="1" ht="15.95" customHeight="1">
      <c r="A48" s="280">
        <v>34</v>
      </c>
      <c r="B48" s="281" t="s">
        <v>503</v>
      </c>
      <c r="C48" s="282">
        <v>195</v>
      </c>
      <c r="D48" s="283" t="s">
        <v>473</v>
      </c>
      <c r="E48" s="269"/>
      <c r="F48" s="269">
        <f t="shared" si="12"/>
        <v>0</v>
      </c>
      <c r="G48" s="269"/>
      <c r="H48" s="269">
        <f t="shared" si="13"/>
        <v>0</v>
      </c>
      <c r="I48" s="269"/>
      <c r="J48" s="269">
        <f t="shared" si="14"/>
        <v>0</v>
      </c>
      <c r="K48" s="269">
        <f t="shared" si="15"/>
        <v>0</v>
      </c>
    </row>
    <row r="49" spans="1:11" s="263" customFormat="1" ht="15.95" customHeight="1">
      <c r="A49" s="280">
        <v>35</v>
      </c>
      <c r="B49" s="281" t="s">
        <v>504</v>
      </c>
      <c r="C49" s="282">
        <v>17</v>
      </c>
      <c r="D49" s="283" t="s">
        <v>473</v>
      </c>
      <c r="E49" s="269"/>
      <c r="F49" s="269">
        <f t="shared" si="12"/>
        <v>0</v>
      </c>
      <c r="G49" s="269"/>
      <c r="H49" s="269">
        <f t="shared" si="13"/>
        <v>0</v>
      </c>
      <c r="I49" s="269"/>
      <c r="J49" s="269">
        <f t="shared" si="14"/>
        <v>0</v>
      </c>
      <c r="K49" s="269">
        <f t="shared" si="15"/>
        <v>0</v>
      </c>
    </row>
    <row r="50" spans="1:11" s="263" customFormat="1" ht="15.95" customHeight="1">
      <c r="A50" s="280">
        <v>36</v>
      </c>
      <c r="B50" s="281" t="s">
        <v>505</v>
      </c>
      <c r="C50" s="282">
        <v>212</v>
      </c>
      <c r="D50" s="283" t="s">
        <v>473</v>
      </c>
      <c r="E50" s="269"/>
      <c r="F50" s="269">
        <f t="shared" si="12"/>
        <v>0</v>
      </c>
      <c r="G50" s="269"/>
      <c r="H50" s="269">
        <f t="shared" si="13"/>
        <v>0</v>
      </c>
      <c r="I50" s="269"/>
      <c r="J50" s="269">
        <f t="shared" si="14"/>
        <v>0</v>
      </c>
      <c r="K50" s="269">
        <f t="shared" si="15"/>
        <v>0</v>
      </c>
    </row>
    <row r="51" spans="1:11" s="263" customFormat="1" ht="15.95" customHeight="1">
      <c r="A51" s="280">
        <v>37</v>
      </c>
      <c r="B51" s="281" t="s">
        <v>506</v>
      </c>
      <c r="C51" s="282">
        <v>37</v>
      </c>
      <c r="D51" s="283" t="s">
        <v>473</v>
      </c>
      <c r="E51" s="269"/>
      <c r="F51" s="269">
        <f t="shared" si="12"/>
        <v>0</v>
      </c>
      <c r="G51" s="269"/>
      <c r="H51" s="269">
        <f t="shared" si="13"/>
        <v>0</v>
      </c>
      <c r="I51" s="269"/>
      <c r="J51" s="269">
        <f t="shared" si="14"/>
        <v>0</v>
      </c>
      <c r="K51" s="269">
        <f t="shared" si="15"/>
        <v>0</v>
      </c>
    </row>
    <row r="52" spans="1:11" s="263" customFormat="1" ht="15.95" customHeight="1">
      <c r="A52" s="280">
        <v>38</v>
      </c>
      <c r="B52" s="281" t="s">
        <v>507</v>
      </c>
      <c r="C52" s="282">
        <v>14</v>
      </c>
      <c r="D52" s="283" t="s">
        <v>473</v>
      </c>
      <c r="E52" s="269"/>
      <c r="F52" s="269">
        <f t="shared" si="12"/>
        <v>0</v>
      </c>
      <c r="G52" s="269"/>
      <c r="H52" s="269">
        <f t="shared" si="13"/>
        <v>0</v>
      </c>
      <c r="I52" s="269"/>
      <c r="J52" s="269">
        <f t="shared" si="14"/>
        <v>0</v>
      </c>
      <c r="K52" s="269">
        <f t="shared" si="15"/>
        <v>0</v>
      </c>
    </row>
    <row r="53" spans="1:11" s="263" customFormat="1" ht="15.95" customHeight="1">
      <c r="A53" s="280">
        <v>39</v>
      </c>
      <c r="B53" s="281" t="s">
        <v>508</v>
      </c>
      <c r="C53" s="282">
        <v>25</v>
      </c>
      <c r="D53" s="283" t="s">
        <v>473</v>
      </c>
      <c r="E53" s="269"/>
      <c r="F53" s="269">
        <f t="shared" si="12"/>
        <v>0</v>
      </c>
      <c r="G53" s="269"/>
      <c r="H53" s="269">
        <f t="shared" si="13"/>
        <v>0</v>
      </c>
      <c r="I53" s="269"/>
      <c r="J53" s="269">
        <f t="shared" si="14"/>
        <v>0</v>
      </c>
      <c r="K53" s="269">
        <f t="shared" si="15"/>
        <v>0</v>
      </c>
    </row>
    <row r="54" spans="1:11" s="263" customFormat="1" ht="15.95" customHeight="1">
      <c r="A54" s="280">
        <v>40</v>
      </c>
      <c r="B54" s="281" t="s">
        <v>509</v>
      </c>
      <c r="C54" s="282">
        <v>31</v>
      </c>
      <c r="D54" s="283" t="s">
        <v>473</v>
      </c>
      <c r="E54" s="269"/>
      <c r="F54" s="269">
        <f t="shared" si="12"/>
        <v>0</v>
      </c>
      <c r="G54" s="269"/>
      <c r="H54" s="269">
        <f t="shared" si="13"/>
        <v>0</v>
      </c>
      <c r="I54" s="269"/>
      <c r="J54" s="269">
        <f t="shared" si="14"/>
        <v>0</v>
      </c>
      <c r="K54" s="269">
        <f t="shared" si="15"/>
        <v>0</v>
      </c>
    </row>
    <row r="55" spans="1:11" s="263" customFormat="1" ht="15.95" customHeight="1">
      <c r="A55" s="280">
        <v>41</v>
      </c>
      <c r="B55" s="281" t="s">
        <v>510</v>
      </c>
      <c r="C55" s="282">
        <v>1</v>
      </c>
      <c r="D55" s="283" t="s">
        <v>470</v>
      </c>
      <c r="E55" s="269"/>
      <c r="F55" s="269">
        <f t="shared" si="12"/>
        <v>0</v>
      </c>
      <c r="G55" s="269"/>
      <c r="H55" s="269">
        <f t="shared" si="13"/>
        <v>0</v>
      </c>
      <c r="I55" s="269"/>
      <c r="J55" s="269">
        <f t="shared" si="14"/>
        <v>0</v>
      </c>
      <c r="K55" s="269">
        <f t="shared" si="15"/>
        <v>0</v>
      </c>
    </row>
    <row r="56" spans="1:11" s="263" customFormat="1" ht="15" customHeight="1">
      <c r="A56" s="280">
        <v>41</v>
      </c>
      <c r="B56" s="281" t="s">
        <v>482</v>
      </c>
      <c r="C56" s="282">
        <v>1</v>
      </c>
      <c r="D56" s="283" t="s">
        <v>483</v>
      </c>
      <c r="E56" s="269"/>
      <c r="F56" s="269">
        <f t="shared" si="12"/>
        <v>0</v>
      </c>
      <c r="G56" s="269"/>
      <c r="H56" s="269">
        <f t="shared" si="13"/>
        <v>0</v>
      </c>
      <c r="I56" s="269"/>
      <c r="J56" s="269">
        <f t="shared" si="14"/>
        <v>0</v>
      </c>
      <c r="K56" s="269">
        <f t="shared" si="15"/>
        <v>0</v>
      </c>
    </row>
    <row r="57" spans="1:11" s="263" customFormat="1" ht="15.95" customHeight="1">
      <c r="A57" s="259" t="s">
        <v>511</v>
      </c>
      <c r="B57" s="260"/>
      <c r="C57" s="260"/>
      <c r="D57" s="260"/>
      <c r="E57" s="262"/>
      <c r="F57" s="262"/>
      <c r="G57" s="262"/>
      <c r="H57" s="262"/>
      <c r="I57" s="262"/>
      <c r="J57" s="262"/>
      <c r="K57" s="262"/>
    </row>
    <row r="58" spans="1:11" s="263" customFormat="1" ht="15.95" customHeight="1">
      <c r="A58" s="280">
        <v>42</v>
      </c>
      <c r="B58" s="281" t="s">
        <v>512</v>
      </c>
      <c r="C58" s="282">
        <v>154</v>
      </c>
      <c r="D58" s="283" t="s">
        <v>473</v>
      </c>
      <c r="E58" s="269"/>
      <c r="F58" s="269">
        <f t="shared" si="12"/>
        <v>0</v>
      </c>
      <c r="G58" s="269"/>
      <c r="H58" s="269">
        <f t="shared" si="13"/>
        <v>0</v>
      </c>
      <c r="I58" s="269"/>
      <c r="J58" s="269">
        <f t="shared" ref="J58:J67" si="16">I58*C58</f>
        <v>0</v>
      </c>
      <c r="K58" s="269">
        <f t="shared" ref="K58:K67" si="17">J58+H58+F58</f>
        <v>0</v>
      </c>
    </row>
    <row r="59" spans="1:11" s="263" customFormat="1" ht="15.95" customHeight="1">
      <c r="A59" s="280">
        <v>43</v>
      </c>
      <c r="B59" s="281" t="s">
        <v>513</v>
      </c>
      <c r="C59" s="282">
        <v>800</v>
      </c>
      <c r="D59" s="283" t="s">
        <v>467</v>
      </c>
      <c r="E59" s="269"/>
      <c r="F59" s="269">
        <f t="shared" si="12"/>
        <v>0</v>
      </c>
      <c r="G59" s="269"/>
      <c r="H59" s="269">
        <f t="shared" si="13"/>
        <v>0</v>
      </c>
      <c r="I59" s="269"/>
      <c r="J59" s="269">
        <f t="shared" si="16"/>
        <v>0</v>
      </c>
      <c r="K59" s="269">
        <f t="shared" si="17"/>
        <v>0</v>
      </c>
    </row>
    <row r="60" spans="1:11" s="263" customFormat="1" ht="15.95" customHeight="1">
      <c r="A60" s="280">
        <v>44</v>
      </c>
      <c r="B60" s="281" t="s">
        <v>514</v>
      </c>
      <c r="C60" s="282">
        <v>1000</v>
      </c>
      <c r="D60" s="283" t="s">
        <v>467</v>
      </c>
      <c r="E60" s="269"/>
      <c r="F60" s="269">
        <f t="shared" si="12"/>
        <v>0</v>
      </c>
      <c r="G60" s="269"/>
      <c r="H60" s="269">
        <f t="shared" si="13"/>
        <v>0</v>
      </c>
      <c r="I60" s="269"/>
      <c r="J60" s="269">
        <f t="shared" si="16"/>
        <v>0</v>
      </c>
      <c r="K60" s="269">
        <f t="shared" si="17"/>
        <v>0</v>
      </c>
    </row>
    <row r="61" spans="1:11" s="263" customFormat="1" ht="15.95" customHeight="1">
      <c r="A61" s="280">
        <v>45</v>
      </c>
      <c r="B61" s="281" t="s">
        <v>515</v>
      </c>
      <c r="C61" s="282">
        <v>1200</v>
      </c>
      <c r="D61" s="283" t="s">
        <v>467</v>
      </c>
      <c r="E61" s="269"/>
      <c r="F61" s="269">
        <f t="shared" si="12"/>
        <v>0</v>
      </c>
      <c r="G61" s="269"/>
      <c r="H61" s="269">
        <f t="shared" si="13"/>
        <v>0</v>
      </c>
      <c r="I61" s="269"/>
      <c r="J61" s="269">
        <f t="shared" si="16"/>
        <v>0</v>
      </c>
      <c r="K61" s="269">
        <f t="shared" si="17"/>
        <v>0</v>
      </c>
    </row>
    <row r="62" spans="1:11" s="263" customFormat="1" ht="15.95" customHeight="1">
      <c r="A62" s="280">
        <v>46</v>
      </c>
      <c r="B62" s="281" t="s">
        <v>516</v>
      </c>
      <c r="C62" s="282">
        <v>20</v>
      </c>
      <c r="D62" s="283" t="s">
        <v>467</v>
      </c>
      <c r="E62" s="269"/>
      <c r="F62" s="269">
        <f t="shared" si="12"/>
        <v>0</v>
      </c>
      <c r="G62" s="269"/>
      <c r="H62" s="269">
        <f t="shared" si="13"/>
        <v>0</v>
      </c>
      <c r="I62" s="269"/>
      <c r="J62" s="269">
        <f t="shared" si="16"/>
        <v>0</v>
      </c>
      <c r="K62" s="269">
        <f t="shared" si="17"/>
        <v>0</v>
      </c>
    </row>
    <row r="63" spans="1:11" s="263" customFormat="1" ht="15.95" customHeight="1">
      <c r="A63" s="280">
        <v>47</v>
      </c>
      <c r="B63" s="281" t="s">
        <v>517</v>
      </c>
      <c r="C63" s="282">
        <v>20</v>
      </c>
      <c r="D63" s="283" t="s">
        <v>467</v>
      </c>
      <c r="E63" s="269"/>
      <c r="F63" s="269">
        <f t="shared" si="12"/>
        <v>0</v>
      </c>
      <c r="G63" s="269"/>
      <c r="H63" s="269">
        <f t="shared" si="13"/>
        <v>0</v>
      </c>
      <c r="I63" s="269"/>
      <c r="J63" s="269">
        <f t="shared" si="16"/>
        <v>0</v>
      </c>
      <c r="K63" s="269">
        <f t="shared" si="17"/>
        <v>0</v>
      </c>
    </row>
    <row r="64" spans="1:11" s="263" customFormat="1" ht="15.95" customHeight="1">
      <c r="A64" s="280">
        <v>48</v>
      </c>
      <c r="B64" s="281" t="s">
        <v>518</v>
      </c>
      <c r="C64" s="282">
        <v>30</v>
      </c>
      <c r="D64" s="283" t="s">
        <v>467</v>
      </c>
      <c r="E64" s="269"/>
      <c r="F64" s="269">
        <f t="shared" si="12"/>
        <v>0</v>
      </c>
      <c r="G64" s="269"/>
      <c r="H64" s="269">
        <f t="shared" si="13"/>
        <v>0</v>
      </c>
      <c r="I64" s="269"/>
      <c r="J64" s="269">
        <f t="shared" si="16"/>
        <v>0</v>
      </c>
      <c r="K64" s="269">
        <f t="shared" si="17"/>
        <v>0</v>
      </c>
    </row>
    <row r="65" spans="1:11" s="263" customFormat="1" ht="15.95" customHeight="1">
      <c r="A65" s="280">
        <v>49</v>
      </c>
      <c r="B65" s="281" t="s">
        <v>519</v>
      </c>
      <c r="C65" s="282">
        <v>300</v>
      </c>
      <c r="D65" s="283" t="s">
        <v>467</v>
      </c>
      <c r="E65" s="269"/>
      <c r="F65" s="269">
        <f t="shared" si="12"/>
        <v>0</v>
      </c>
      <c r="G65" s="269"/>
      <c r="H65" s="269">
        <f t="shared" si="13"/>
        <v>0</v>
      </c>
      <c r="I65" s="269"/>
      <c r="J65" s="269">
        <f t="shared" si="16"/>
        <v>0</v>
      </c>
      <c r="K65" s="269">
        <f t="shared" si="17"/>
        <v>0</v>
      </c>
    </row>
    <row r="66" spans="1:11" s="263" customFormat="1" ht="15.95" customHeight="1">
      <c r="A66" s="280">
        <v>50</v>
      </c>
      <c r="B66" s="281" t="s">
        <v>520</v>
      </c>
      <c r="C66" s="282">
        <v>20</v>
      </c>
      <c r="D66" s="283" t="s">
        <v>470</v>
      </c>
      <c r="E66" s="269"/>
      <c r="F66" s="269">
        <f t="shared" si="12"/>
        <v>0</v>
      </c>
      <c r="G66" s="269"/>
      <c r="H66" s="269">
        <f t="shared" si="13"/>
        <v>0</v>
      </c>
      <c r="I66" s="269"/>
      <c r="J66" s="269">
        <f t="shared" si="16"/>
        <v>0</v>
      </c>
      <c r="K66" s="269">
        <f t="shared" si="17"/>
        <v>0</v>
      </c>
    </row>
    <row r="67" spans="1:11" s="263" customFormat="1" ht="15.95" customHeight="1">
      <c r="A67" s="280">
        <v>51</v>
      </c>
      <c r="B67" s="281" t="s">
        <v>521</v>
      </c>
      <c r="C67" s="282">
        <v>20</v>
      </c>
      <c r="D67" s="283" t="s">
        <v>470</v>
      </c>
      <c r="E67" s="269"/>
      <c r="F67" s="269">
        <f t="shared" si="12"/>
        <v>0</v>
      </c>
      <c r="G67" s="269"/>
      <c r="H67" s="269">
        <f t="shared" si="13"/>
        <v>0</v>
      </c>
      <c r="I67" s="269"/>
      <c r="J67" s="269">
        <f t="shared" si="16"/>
        <v>0</v>
      </c>
      <c r="K67" s="269">
        <f t="shared" si="17"/>
        <v>0</v>
      </c>
    </row>
    <row r="68" spans="1:11" ht="15">
      <c r="A68" s="284"/>
      <c r="B68" s="285"/>
      <c r="C68" s="284"/>
      <c r="D68" s="286"/>
      <c r="E68" s="287"/>
      <c r="F68" s="287"/>
      <c r="G68" s="287"/>
      <c r="H68" s="287"/>
      <c r="I68" s="287"/>
      <c r="J68" s="287"/>
      <c r="K68" s="287"/>
    </row>
    <row r="69" spans="1:11" ht="25.5">
      <c r="A69" s="288"/>
      <c r="B69" s="289" t="s">
        <v>522</v>
      </c>
      <c r="C69" s="290"/>
      <c r="D69" s="291"/>
      <c r="E69" s="291"/>
      <c r="F69" s="425">
        <f>SUM(F9:F67)</f>
        <v>0</v>
      </c>
      <c r="G69" s="426"/>
      <c r="H69" s="425">
        <f>SUM(H9:H67)</f>
        <v>0</v>
      </c>
      <c r="I69" s="426"/>
      <c r="J69" s="425">
        <f>SUM(J9:J67)</f>
        <v>0</v>
      </c>
      <c r="K69" s="425">
        <f>SUM(K9:K67)</f>
        <v>0</v>
      </c>
    </row>
    <row r="70" spans="1:11" ht="15">
      <c r="A70" s="288"/>
      <c r="B70" s="292" t="s">
        <v>523</v>
      </c>
      <c r="C70" s="293">
        <v>0</v>
      </c>
      <c r="D70" s="294"/>
      <c r="E70" s="294"/>
      <c r="F70" s="295"/>
      <c r="G70" s="295"/>
      <c r="H70" s="295"/>
      <c r="I70" s="295"/>
      <c r="J70" s="295"/>
      <c r="K70" s="427">
        <f>K69*C70</f>
        <v>0</v>
      </c>
    </row>
    <row r="71" spans="1:11" ht="14.25">
      <c r="A71" s="288"/>
      <c r="B71" s="296" t="s">
        <v>173</v>
      </c>
      <c r="C71" s="297"/>
      <c r="D71" s="291"/>
      <c r="E71" s="291"/>
      <c r="F71" s="298"/>
      <c r="G71" s="298"/>
      <c r="H71" s="298"/>
      <c r="I71" s="298"/>
      <c r="J71" s="298"/>
      <c r="K71" s="428">
        <f>SUM(K69:K70)</f>
        <v>0</v>
      </c>
    </row>
    <row r="72" spans="1:11" ht="15">
      <c r="A72" s="288"/>
      <c r="B72" s="292" t="s">
        <v>524</v>
      </c>
      <c r="C72" s="293">
        <v>0</v>
      </c>
      <c r="D72" s="294"/>
      <c r="E72" s="294"/>
      <c r="F72" s="295"/>
      <c r="G72" s="295"/>
      <c r="H72" s="295"/>
      <c r="I72" s="295"/>
      <c r="J72" s="295"/>
      <c r="K72" s="427">
        <f>K71*C72</f>
        <v>0</v>
      </c>
    </row>
    <row r="73" spans="1:11" ht="14.25">
      <c r="A73" s="288"/>
      <c r="B73" s="296" t="s">
        <v>173</v>
      </c>
      <c r="C73" s="297"/>
      <c r="D73" s="291"/>
      <c r="E73" s="291"/>
      <c r="F73" s="298"/>
      <c r="G73" s="298"/>
      <c r="H73" s="298"/>
      <c r="I73" s="298"/>
      <c r="J73" s="298"/>
      <c r="K73" s="428">
        <f>K72+K71</f>
        <v>0</v>
      </c>
    </row>
    <row r="74" spans="1:11" ht="15">
      <c r="A74" s="288"/>
      <c r="B74" s="292" t="s">
        <v>525</v>
      </c>
      <c r="C74" s="293"/>
      <c r="D74" s="294"/>
      <c r="E74" s="294"/>
      <c r="F74" s="295"/>
      <c r="G74" s="295"/>
      <c r="H74" s="295"/>
      <c r="I74" s="295"/>
      <c r="J74" s="295"/>
      <c r="K74" s="427">
        <f>K73*C74</f>
        <v>0</v>
      </c>
    </row>
    <row r="75" spans="1:11" ht="14.25">
      <c r="A75" s="288"/>
      <c r="B75" s="296" t="s">
        <v>173</v>
      </c>
      <c r="C75" s="297"/>
      <c r="D75" s="291"/>
      <c r="E75" s="291"/>
      <c r="F75" s="298"/>
      <c r="G75" s="298"/>
      <c r="H75" s="298"/>
      <c r="I75" s="298"/>
      <c r="J75" s="298"/>
      <c r="K75" s="428">
        <f>K74+K73</f>
        <v>0</v>
      </c>
    </row>
    <row r="76" spans="1:11" ht="15.75" thickBot="1">
      <c r="A76" s="288"/>
      <c r="B76" s="299" t="s">
        <v>63</v>
      </c>
      <c r="C76" s="300">
        <v>0.18</v>
      </c>
      <c r="D76" s="301"/>
      <c r="E76" s="301"/>
      <c r="F76" s="302"/>
      <c r="G76" s="302"/>
      <c r="H76" s="302"/>
      <c r="I76" s="302"/>
      <c r="J76" s="302"/>
      <c r="K76" s="429">
        <f>K75*C76</f>
        <v>0</v>
      </c>
    </row>
    <row r="77" spans="1:11" ht="17.25" thickBot="1">
      <c r="A77" s="288"/>
      <c r="B77" s="303" t="s">
        <v>526</v>
      </c>
      <c r="C77" s="304"/>
      <c r="D77" s="305"/>
      <c r="E77" s="305"/>
      <c r="F77" s="306"/>
      <c r="G77" s="306"/>
      <c r="H77" s="306"/>
      <c r="I77" s="306"/>
      <c r="J77" s="307"/>
      <c r="K77" s="430">
        <f>K76+K75</f>
        <v>0</v>
      </c>
    </row>
    <row r="78" spans="1:11">
      <c r="B78" s="244"/>
    </row>
    <row r="79" spans="1:11">
      <c r="B79" s="244"/>
    </row>
    <row r="80" spans="1:11" ht="19.5" customHeight="1">
      <c r="B80" s="308" t="s">
        <v>527</v>
      </c>
    </row>
  </sheetData>
  <mergeCells count="8">
    <mergeCell ref="I6:J6"/>
    <mergeCell ref="K6:K7"/>
    <mergeCell ref="A6:A7"/>
    <mergeCell ref="B6:B7"/>
    <mergeCell ref="C6:C7"/>
    <mergeCell ref="D6:D7"/>
    <mergeCell ref="E6:F6"/>
    <mergeCell ref="G6:H6"/>
  </mergeCells>
  <pageMargins left="0.39370078740157499" right="0.23622047244094499" top="0.56999999999999995" bottom="0.56999999999999995" header="0.2" footer="0.196850393700787"/>
  <pageSetup paperSize="9" scale="55" orientation="landscape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9D08-010F-4234-B7FF-2CD2F2B394E2}">
  <sheetPr>
    <tabColor rgb="FFFFFF00"/>
  </sheetPr>
  <dimension ref="A1:R213"/>
  <sheetViews>
    <sheetView showGridLines="0" workbookViewId="0">
      <selection activeCell="M164" sqref="M164"/>
    </sheetView>
  </sheetViews>
  <sheetFormatPr defaultRowHeight="12.75"/>
  <cols>
    <col min="1" max="1" width="4.140625" style="234" customWidth="1"/>
    <col min="2" max="2" width="9.28515625" style="235" customWidth="1"/>
    <col min="3" max="3" width="39.7109375" style="199" customWidth="1"/>
    <col min="4" max="6" width="8.85546875" style="199"/>
    <col min="7" max="7" width="9.85546875" style="199" customWidth="1"/>
    <col min="8" max="8" width="11.5703125" style="199" bestFit="1" customWidth="1"/>
    <col min="9" max="9" width="10.85546875" style="199" customWidth="1"/>
    <col min="10" max="10" width="11.42578125" style="199" bestFit="1" customWidth="1"/>
    <col min="11" max="11" width="10.7109375" style="199" customWidth="1"/>
    <col min="12" max="12" width="10.5703125" style="199" bestFit="1" customWidth="1"/>
    <col min="13" max="13" width="13.28515625" style="199" customWidth="1"/>
    <col min="14" max="255" width="8.85546875" style="199"/>
    <col min="256" max="256" width="4.140625" style="199" customWidth="1"/>
    <col min="257" max="257" width="9.28515625" style="199" customWidth="1"/>
    <col min="258" max="258" width="39.7109375" style="199" customWidth="1"/>
    <col min="259" max="261" width="8.85546875" style="199"/>
    <col min="262" max="262" width="9.85546875" style="199" customWidth="1"/>
    <col min="263" max="263" width="11.42578125" style="199" bestFit="1" customWidth="1"/>
    <col min="264" max="264" width="10.85546875" style="199" customWidth="1"/>
    <col min="265" max="265" width="8.85546875" style="199"/>
    <col min="266" max="266" width="10.7109375" style="199" customWidth="1"/>
    <col min="267" max="267" width="10.42578125" style="199" bestFit="1" customWidth="1"/>
    <col min="268" max="268" width="10.28515625" style="199" customWidth="1"/>
    <col min="269" max="269" width="11.42578125" style="199" bestFit="1" customWidth="1"/>
    <col min="270" max="511" width="8.85546875" style="199"/>
    <col min="512" max="512" width="4.140625" style="199" customWidth="1"/>
    <col min="513" max="513" width="9.28515625" style="199" customWidth="1"/>
    <col min="514" max="514" width="39.7109375" style="199" customWidth="1"/>
    <col min="515" max="517" width="8.85546875" style="199"/>
    <col min="518" max="518" width="9.85546875" style="199" customWidth="1"/>
    <col min="519" max="519" width="11.42578125" style="199" bestFit="1" customWidth="1"/>
    <col min="520" max="520" width="10.85546875" style="199" customWidth="1"/>
    <col min="521" max="521" width="8.85546875" style="199"/>
    <col min="522" max="522" width="10.7109375" style="199" customWidth="1"/>
    <col min="523" max="523" width="10.42578125" style="199" bestFit="1" customWidth="1"/>
    <col min="524" max="524" width="10.28515625" style="199" customWidth="1"/>
    <col min="525" max="525" width="11.42578125" style="199" bestFit="1" customWidth="1"/>
    <col min="526" max="767" width="8.85546875" style="199"/>
    <col min="768" max="768" width="4.140625" style="199" customWidth="1"/>
    <col min="769" max="769" width="9.28515625" style="199" customWidth="1"/>
    <col min="770" max="770" width="39.7109375" style="199" customWidth="1"/>
    <col min="771" max="773" width="8.85546875" style="199"/>
    <col min="774" max="774" width="9.85546875" style="199" customWidth="1"/>
    <col min="775" max="775" width="11.42578125" style="199" bestFit="1" customWidth="1"/>
    <col min="776" max="776" width="10.85546875" style="199" customWidth="1"/>
    <col min="777" max="777" width="8.85546875" style="199"/>
    <col min="778" max="778" width="10.7109375" style="199" customWidth="1"/>
    <col min="779" max="779" width="10.42578125" style="199" bestFit="1" customWidth="1"/>
    <col min="780" max="780" width="10.28515625" style="199" customWidth="1"/>
    <col min="781" max="781" width="11.42578125" style="199" bestFit="1" customWidth="1"/>
    <col min="782" max="1023" width="8.85546875" style="199"/>
    <col min="1024" max="1024" width="4.140625" style="199" customWidth="1"/>
    <col min="1025" max="1025" width="9.28515625" style="199" customWidth="1"/>
    <col min="1026" max="1026" width="39.7109375" style="199" customWidth="1"/>
    <col min="1027" max="1029" width="8.85546875" style="199"/>
    <col min="1030" max="1030" width="9.85546875" style="199" customWidth="1"/>
    <col min="1031" max="1031" width="11.42578125" style="199" bestFit="1" customWidth="1"/>
    <col min="1032" max="1032" width="10.85546875" style="199" customWidth="1"/>
    <col min="1033" max="1033" width="8.85546875" style="199"/>
    <col min="1034" max="1034" width="10.7109375" style="199" customWidth="1"/>
    <col min="1035" max="1035" width="10.42578125" style="199" bestFit="1" customWidth="1"/>
    <col min="1036" max="1036" width="10.28515625" style="199" customWidth="1"/>
    <col min="1037" max="1037" width="11.42578125" style="199" bestFit="1" customWidth="1"/>
    <col min="1038" max="1279" width="8.85546875" style="199"/>
    <col min="1280" max="1280" width="4.140625" style="199" customWidth="1"/>
    <col min="1281" max="1281" width="9.28515625" style="199" customWidth="1"/>
    <col min="1282" max="1282" width="39.7109375" style="199" customWidth="1"/>
    <col min="1283" max="1285" width="8.85546875" style="199"/>
    <col min="1286" max="1286" width="9.85546875" style="199" customWidth="1"/>
    <col min="1287" max="1287" width="11.42578125" style="199" bestFit="1" customWidth="1"/>
    <col min="1288" max="1288" width="10.85546875" style="199" customWidth="1"/>
    <col min="1289" max="1289" width="8.85546875" style="199"/>
    <col min="1290" max="1290" width="10.7109375" style="199" customWidth="1"/>
    <col min="1291" max="1291" width="10.42578125" style="199" bestFit="1" customWidth="1"/>
    <col min="1292" max="1292" width="10.28515625" style="199" customWidth="1"/>
    <col min="1293" max="1293" width="11.42578125" style="199" bestFit="1" customWidth="1"/>
    <col min="1294" max="1535" width="8.85546875" style="199"/>
    <col min="1536" max="1536" width="4.140625" style="199" customWidth="1"/>
    <col min="1537" max="1537" width="9.28515625" style="199" customWidth="1"/>
    <col min="1538" max="1538" width="39.7109375" style="199" customWidth="1"/>
    <col min="1539" max="1541" width="8.85546875" style="199"/>
    <col min="1542" max="1542" width="9.85546875" style="199" customWidth="1"/>
    <col min="1543" max="1543" width="11.42578125" style="199" bestFit="1" customWidth="1"/>
    <col min="1544" max="1544" width="10.85546875" style="199" customWidth="1"/>
    <col min="1545" max="1545" width="8.85546875" style="199"/>
    <col min="1546" max="1546" width="10.7109375" style="199" customWidth="1"/>
    <col min="1547" max="1547" width="10.42578125" style="199" bestFit="1" customWidth="1"/>
    <col min="1548" max="1548" width="10.28515625" style="199" customWidth="1"/>
    <col min="1549" max="1549" width="11.42578125" style="199" bestFit="1" customWidth="1"/>
    <col min="1550" max="1791" width="8.85546875" style="199"/>
    <col min="1792" max="1792" width="4.140625" style="199" customWidth="1"/>
    <col min="1793" max="1793" width="9.28515625" style="199" customWidth="1"/>
    <col min="1794" max="1794" width="39.7109375" style="199" customWidth="1"/>
    <col min="1795" max="1797" width="8.85546875" style="199"/>
    <col min="1798" max="1798" width="9.85546875" style="199" customWidth="1"/>
    <col min="1799" max="1799" width="11.42578125" style="199" bestFit="1" customWidth="1"/>
    <col min="1800" max="1800" width="10.85546875" style="199" customWidth="1"/>
    <col min="1801" max="1801" width="8.85546875" style="199"/>
    <col min="1802" max="1802" width="10.7109375" style="199" customWidth="1"/>
    <col min="1803" max="1803" width="10.42578125" style="199" bestFit="1" customWidth="1"/>
    <col min="1804" max="1804" width="10.28515625" style="199" customWidth="1"/>
    <col min="1805" max="1805" width="11.42578125" style="199" bestFit="1" customWidth="1"/>
    <col min="1806" max="2047" width="8.85546875" style="199"/>
    <col min="2048" max="2048" width="4.140625" style="199" customWidth="1"/>
    <col min="2049" max="2049" width="9.28515625" style="199" customWidth="1"/>
    <col min="2050" max="2050" width="39.7109375" style="199" customWidth="1"/>
    <col min="2051" max="2053" width="8.85546875" style="199"/>
    <col min="2054" max="2054" width="9.85546875" style="199" customWidth="1"/>
    <col min="2055" max="2055" width="11.42578125" style="199" bestFit="1" customWidth="1"/>
    <col min="2056" max="2056" width="10.85546875" style="199" customWidth="1"/>
    <col min="2057" max="2057" width="8.85546875" style="199"/>
    <col min="2058" max="2058" width="10.7109375" style="199" customWidth="1"/>
    <col min="2059" max="2059" width="10.42578125" style="199" bestFit="1" customWidth="1"/>
    <col min="2060" max="2060" width="10.28515625" style="199" customWidth="1"/>
    <col min="2061" max="2061" width="11.42578125" style="199" bestFit="1" customWidth="1"/>
    <col min="2062" max="2303" width="8.85546875" style="199"/>
    <col min="2304" max="2304" width="4.140625" style="199" customWidth="1"/>
    <col min="2305" max="2305" width="9.28515625" style="199" customWidth="1"/>
    <col min="2306" max="2306" width="39.7109375" style="199" customWidth="1"/>
    <col min="2307" max="2309" width="8.85546875" style="199"/>
    <col min="2310" max="2310" width="9.85546875" style="199" customWidth="1"/>
    <col min="2311" max="2311" width="11.42578125" style="199" bestFit="1" customWidth="1"/>
    <col min="2312" max="2312" width="10.85546875" style="199" customWidth="1"/>
    <col min="2313" max="2313" width="8.85546875" style="199"/>
    <col min="2314" max="2314" width="10.7109375" style="199" customWidth="1"/>
    <col min="2315" max="2315" width="10.42578125" style="199" bestFit="1" customWidth="1"/>
    <col min="2316" max="2316" width="10.28515625" style="199" customWidth="1"/>
    <col min="2317" max="2317" width="11.42578125" style="199" bestFit="1" customWidth="1"/>
    <col min="2318" max="2559" width="8.85546875" style="199"/>
    <col min="2560" max="2560" width="4.140625" style="199" customWidth="1"/>
    <col min="2561" max="2561" width="9.28515625" style="199" customWidth="1"/>
    <col min="2562" max="2562" width="39.7109375" style="199" customWidth="1"/>
    <col min="2563" max="2565" width="8.85546875" style="199"/>
    <col min="2566" max="2566" width="9.85546875" style="199" customWidth="1"/>
    <col min="2567" max="2567" width="11.42578125" style="199" bestFit="1" customWidth="1"/>
    <col min="2568" max="2568" width="10.85546875" style="199" customWidth="1"/>
    <col min="2569" max="2569" width="8.85546875" style="199"/>
    <col min="2570" max="2570" width="10.7109375" style="199" customWidth="1"/>
    <col min="2571" max="2571" width="10.42578125" style="199" bestFit="1" customWidth="1"/>
    <col min="2572" max="2572" width="10.28515625" style="199" customWidth="1"/>
    <col min="2573" max="2573" width="11.42578125" style="199" bestFit="1" customWidth="1"/>
    <col min="2574" max="2815" width="8.85546875" style="199"/>
    <col min="2816" max="2816" width="4.140625" style="199" customWidth="1"/>
    <col min="2817" max="2817" width="9.28515625" style="199" customWidth="1"/>
    <col min="2818" max="2818" width="39.7109375" style="199" customWidth="1"/>
    <col min="2819" max="2821" width="8.85546875" style="199"/>
    <col min="2822" max="2822" width="9.85546875" style="199" customWidth="1"/>
    <col min="2823" max="2823" width="11.42578125" style="199" bestFit="1" customWidth="1"/>
    <col min="2824" max="2824" width="10.85546875" style="199" customWidth="1"/>
    <col min="2825" max="2825" width="8.85546875" style="199"/>
    <col min="2826" max="2826" width="10.7109375" style="199" customWidth="1"/>
    <col min="2827" max="2827" width="10.42578125" style="199" bestFit="1" customWidth="1"/>
    <col min="2828" max="2828" width="10.28515625" style="199" customWidth="1"/>
    <col min="2829" max="2829" width="11.42578125" style="199" bestFit="1" customWidth="1"/>
    <col min="2830" max="3071" width="8.85546875" style="199"/>
    <col min="3072" max="3072" width="4.140625" style="199" customWidth="1"/>
    <col min="3073" max="3073" width="9.28515625" style="199" customWidth="1"/>
    <col min="3074" max="3074" width="39.7109375" style="199" customWidth="1"/>
    <col min="3075" max="3077" width="8.85546875" style="199"/>
    <col min="3078" max="3078" width="9.85546875" style="199" customWidth="1"/>
    <col min="3079" max="3079" width="11.42578125" style="199" bestFit="1" customWidth="1"/>
    <col min="3080" max="3080" width="10.85546875" style="199" customWidth="1"/>
    <col min="3081" max="3081" width="8.85546875" style="199"/>
    <col min="3082" max="3082" width="10.7109375" style="199" customWidth="1"/>
    <col min="3083" max="3083" width="10.42578125" style="199" bestFit="1" customWidth="1"/>
    <col min="3084" max="3084" width="10.28515625" style="199" customWidth="1"/>
    <col min="3085" max="3085" width="11.42578125" style="199" bestFit="1" customWidth="1"/>
    <col min="3086" max="3327" width="8.85546875" style="199"/>
    <col min="3328" max="3328" width="4.140625" style="199" customWidth="1"/>
    <col min="3329" max="3329" width="9.28515625" style="199" customWidth="1"/>
    <col min="3330" max="3330" width="39.7109375" style="199" customWidth="1"/>
    <col min="3331" max="3333" width="8.85546875" style="199"/>
    <col min="3334" max="3334" width="9.85546875" style="199" customWidth="1"/>
    <col min="3335" max="3335" width="11.42578125" style="199" bestFit="1" customWidth="1"/>
    <col min="3336" max="3336" width="10.85546875" style="199" customWidth="1"/>
    <col min="3337" max="3337" width="8.85546875" style="199"/>
    <col min="3338" max="3338" width="10.7109375" style="199" customWidth="1"/>
    <col min="3339" max="3339" width="10.42578125" style="199" bestFit="1" customWidth="1"/>
    <col min="3340" max="3340" width="10.28515625" style="199" customWidth="1"/>
    <col min="3341" max="3341" width="11.42578125" style="199" bestFit="1" customWidth="1"/>
    <col min="3342" max="3583" width="8.85546875" style="199"/>
    <col min="3584" max="3584" width="4.140625" style="199" customWidth="1"/>
    <col min="3585" max="3585" width="9.28515625" style="199" customWidth="1"/>
    <col min="3586" max="3586" width="39.7109375" style="199" customWidth="1"/>
    <col min="3587" max="3589" width="8.85546875" style="199"/>
    <col min="3590" max="3590" width="9.85546875" style="199" customWidth="1"/>
    <col min="3591" max="3591" width="11.42578125" style="199" bestFit="1" customWidth="1"/>
    <col min="3592" max="3592" width="10.85546875" style="199" customWidth="1"/>
    <col min="3593" max="3593" width="8.85546875" style="199"/>
    <col min="3594" max="3594" width="10.7109375" style="199" customWidth="1"/>
    <col min="3595" max="3595" width="10.42578125" style="199" bestFit="1" customWidth="1"/>
    <col min="3596" max="3596" width="10.28515625" style="199" customWidth="1"/>
    <col min="3597" max="3597" width="11.42578125" style="199" bestFit="1" customWidth="1"/>
    <col min="3598" max="3839" width="8.85546875" style="199"/>
    <col min="3840" max="3840" width="4.140625" style="199" customWidth="1"/>
    <col min="3841" max="3841" width="9.28515625" style="199" customWidth="1"/>
    <col min="3842" max="3842" width="39.7109375" style="199" customWidth="1"/>
    <col min="3843" max="3845" width="8.85546875" style="199"/>
    <col min="3846" max="3846" width="9.85546875" style="199" customWidth="1"/>
    <col min="3847" max="3847" width="11.42578125" style="199" bestFit="1" customWidth="1"/>
    <col min="3848" max="3848" width="10.85546875" style="199" customWidth="1"/>
    <col min="3849" max="3849" width="8.85546875" style="199"/>
    <col min="3850" max="3850" width="10.7109375" style="199" customWidth="1"/>
    <col min="3851" max="3851" width="10.42578125" style="199" bestFit="1" customWidth="1"/>
    <col min="3852" max="3852" width="10.28515625" style="199" customWidth="1"/>
    <col min="3853" max="3853" width="11.42578125" style="199" bestFit="1" customWidth="1"/>
    <col min="3854" max="4095" width="8.85546875" style="199"/>
    <col min="4096" max="4096" width="4.140625" style="199" customWidth="1"/>
    <col min="4097" max="4097" width="9.28515625" style="199" customWidth="1"/>
    <col min="4098" max="4098" width="39.7109375" style="199" customWidth="1"/>
    <col min="4099" max="4101" width="8.85546875" style="199"/>
    <col min="4102" max="4102" width="9.85546875" style="199" customWidth="1"/>
    <col min="4103" max="4103" width="11.42578125" style="199" bestFit="1" customWidth="1"/>
    <col min="4104" max="4104" width="10.85546875" style="199" customWidth="1"/>
    <col min="4105" max="4105" width="8.85546875" style="199"/>
    <col min="4106" max="4106" width="10.7109375" style="199" customWidth="1"/>
    <col min="4107" max="4107" width="10.42578125" style="199" bestFit="1" customWidth="1"/>
    <col min="4108" max="4108" width="10.28515625" style="199" customWidth="1"/>
    <col min="4109" max="4109" width="11.42578125" style="199" bestFit="1" customWidth="1"/>
    <col min="4110" max="4351" width="8.85546875" style="199"/>
    <col min="4352" max="4352" width="4.140625" style="199" customWidth="1"/>
    <col min="4353" max="4353" width="9.28515625" style="199" customWidth="1"/>
    <col min="4354" max="4354" width="39.7109375" style="199" customWidth="1"/>
    <col min="4355" max="4357" width="8.85546875" style="199"/>
    <col min="4358" max="4358" width="9.85546875" style="199" customWidth="1"/>
    <col min="4359" max="4359" width="11.42578125" style="199" bestFit="1" customWidth="1"/>
    <col min="4360" max="4360" width="10.85546875" style="199" customWidth="1"/>
    <col min="4361" max="4361" width="8.85546875" style="199"/>
    <col min="4362" max="4362" width="10.7109375" style="199" customWidth="1"/>
    <col min="4363" max="4363" width="10.42578125" style="199" bestFit="1" customWidth="1"/>
    <col min="4364" max="4364" width="10.28515625" style="199" customWidth="1"/>
    <col min="4365" max="4365" width="11.42578125" style="199" bestFit="1" customWidth="1"/>
    <col min="4366" max="4607" width="8.85546875" style="199"/>
    <col min="4608" max="4608" width="4.140625" style="199" customWidth="1"/>
    <col min="4609" max="4609" width="9.28515625" style="199" customWidth="1"/>
    <col min="4610" max="4610" width="39.7109375" style="199" customWidth="1"/>
    <col min="4611" max="4613" width="8.85546875" style="199"/>
    <col min="4614" max="4614" width="9.85546875" style="199" customWidth="1"/>
    <col min="4615" max="4615" width="11.42578125" style="199" bestFit="1" customWidth="1"/>
    <col min="4616" max="4616" width="10.85546875" style="199" customWidth="1"/>
    <col min="4617" max="4617" width="8.85546875" style="199"/>
    <col min="4618" max="4618" width="10.7109375" style="199" customWidth="1"/>
    <col min="4619" max="4619" width="10.42578125" style="199" bestFit="1" customWidth="1"/>
    <col min="4620" max="4620" width="10.28515625" style="199" customWidth="1"/>
    <col min="4621" max="4621" width="11.42578125" style="199" bestFit="1" customWidth="1"/>
    <col min="4622" max="4863" width="8.85546875" style="199"/>
    <col min="4864" max="4864" width="4.140625" style="199" customWidth="1"/>
    <col min="4865" max="4865" width="9.28515625" style="199" customWidth="1"/>
    <col min="4866" max="4866" width="39.7109375" style="199" customWidth="1"/>
    <col min="4867" max="4869" width="8.85546875" style="199"/>
    <col min="4870" max="4870" width="9.85546875" style="199" customWidth="1"/>
    <col min="4871" max="4871" width="11.42578125" style="199" bestFit="1" customWidth="1"/>
    <col min="4872" max="4872" width="10.85546875" style="199" customWidth="1"/>
    <col min="4873" max="4873" width="8.85546875" style="199"/>
    <col min="4874" max="4874" width="10.7109375" style="199" customWidth="1"/>
    <col min="4875" max="4875" width="10.42578125" style="199" bestFit="1" customWidth="1"/>
    <col min="4876" max="4876" width="10.28515625" style="199" customWidth="1"/>
    <col min="4877" max="4877" width="11.42578125" style="199" bestFit="1" customWidth="1"/>
    <col min="4878" max="5119" width="8.85546875" style="199"/>
    <col min="5120" max="5120" width="4.140625" style="199" customWidth="1"/>
    <col min="5121" max="5121" width="9.28515625" style="199" customWidth="1"/>
    <col min="5122" max="5122" width="39.7109375" style="199" customWidth="1"/>
    <col min="5123" max="5125" width="8.85546875" style="199"/>
    <col min="5126" max="5126" width="9.85546875" style="199" customWidth="1"/>
    <col min="5127" max="5127" width="11.42578125" style="199" bestFit="1" customWidth="1"/>
    <col min="5128" max="5128" width="10.85546875" style="199" customWidth="1"/>
    <col min="5129" max="5129" width="8.85546875" style="199"/>
    <col min="5130" max="5130" width="10.7109375" style="199" customWidth="1"/>
    <col min="5131" max="5131" width="10.42578125" style="199" bestFit="1" customWidth="1"/>
    <col min="5132" max="5132" width="10.28515625" style="199" customWidth="1"/>
    <col min="5133" max="5133" width="11.42578125" style="199" bestFit="1" customWidth="1"/>
    <col min="5134" max="5375" width="8.85546875" style="199"/>
    <col min="5376" max="5376" width="4.140625" style="199" customWidth="1"/>
    <col min="5377" max="5377" width="9.28515625" style="199" customWidth="1"/>
    <col min="5378" max="5378" width="39.7109375" style="199" customWidth="1"/>
    <col min="5379" max="5381" width="8.85546875" style="199"/>
    <col min="5382" max="5382" width="9.85546875" style="199" customWidth="1"/>
    <col min="5383" max="5383" width="11.42578125" style="199" bestFit="1" customWidth="1"/>
    <col min="5384" max="5384" width="10.85546875" style="199" customWidth="1"/>
    <col min="5385" max="5385" width="8.85546875" style="199"/>
    <col min="5386" max="5386" width="10.7109375" style="199" customWidth="1"/>
    <col min="5387" max="5387" width="10.42578125" style="199" bestFit="1" customWidth="1"/>
    <col min="5388" max="5388" width="10.28515625" style="199" customWidth="1"/>
    <col min="5389" max="5389" width="11.42578125" style="199" bestFit="1" customWidth="1"/>
    <col min="5390" max="5631" width="8.85546875" style="199"/>
    <col min="5632" max="5632" width="4.140625" style="199" customWidth="1"/>
    <col min="5633" max="5633" width="9.28515625" style="199" customWidth="1"/>
    <col min="5634" max="5634" width="39.7109375" style="199" customWidth="1"/>
    <col min="5635" max="5637" width="8.85546875" style="199"/>
    <col min="5638" max="5638" width="9.85546875" style="199" customWidth="1"/>
    <col min="5639" max="5639" width="11.42578125" style="199" bestFit="1" customWidth="1"/>
    <col min="5640" max="5640" width="10.85546875" style="199" customWidth="1"/>
    <col min="5641" max="5641" width="8.85546875" style="199"/>
    <col min="5642" max="5642" width="10.7109375" style="199" customWidth="1"/>
    <col min="5643" max="5643" width="10.42578125" style="199" bestFit="1" customWidth="1"/>
    <col min="5644" max="5644" width="10.28515625" style="199" customWidth="1"/>
    <col min="5645" max="5645" width="11.42578125" style="199" bestFit="1" customWidth="1"/>
    <col min="5646" max="5887" width="8.85546875" style="199"/>
    <col min="5888" max="5888" width="4.140625" style="199" customWidth="1"/>
    <col min="5889" max="5889" width="9.28515625" style="199" customWidth="1"/>
    <col min="5890" max="5890" width="39.7109375" style="199" customWidth="1"/>
    <col min="5891" max="5893" width="8.85546875" style="199"/>
    <col min="5894" max="5894" width="9.85546875" style="199" customWidth="1"/>
    <col min="5895" max="5895" width="11.42578125" style="199" bestFit="1" customWidth="1"/>
    <col min="5896" max="5896" width="10.85546875" style="199" customWidth="1"/>
    <col min="5897" max="5897" width="8.85546875" style="199"/>
    <col min="5898" max="5898" width="10.7109375" style="199" customWidth="1"/>
    <col min="5899" max="5899" width="10.42578125" style="199" bestFit="1" customWidth="1"/>
    <col min="5900" max="5900" width="10.28515625" style="199" customWidth="1"/>
    <col min="5901" max="5901" width="11.42578125" style="199" bestFit="1" customWidth="1"/>
    <col min="5902" max="6143" width="8.85546875" style="199"/>
    <col min="6144" max="6144" width="4.140625" style="199" customWidth="1"/>
    <col min="6145" max="6145" width="9.28515625" style="199" customWidth="1"/>
    <col min="6146" max="6146" width="39.7109375" style="199" customWidth="1"/>
    <col min="6147" max="6149" width="8.85546875" style="199"/>
    <col min="6150" max="6150" width="9.85546875" style="199" customWidth="1"/>
    <col min="6151" max="6151" width="11.42578125" style="199" bestFit="1" customWidth="1"/>
    <col min="6152" max="6152" width="10.85546875" style="199" customWidth="1"/>
    <col min="6153" max="6153" width="8.85546875" style="199"/>
    <col min="6154" max="6154" width="10.7109375" style="199" customWidth="1"/>
    <col min="6155" max="6155" width="10.42578125" style="199" bestFit="1" customWidth="1"/>
    <col min="6156" max="6156" width="10.28515625" style="199" customWidth="1"/>
    <col min="6157" max="6157" width="11.42578125" style="199" bestFit="1" customWidth="1"/>
    <col min="6158" max="6399" width="8.85546875" style="199"/>
    <col min="6400" max="6400" width="4.140625" style="199" customWidth="1"/>
    <col min="6401" max="6401" width="9.28515625" style="199" customWidth="1"/>
    <col min="6402" max="6402" width="39.7109375" style="199" customWidth="1"/>
    <col min="6403" max="6405" width="8.85546875" style="199"/>
    <col min="6406" max="6406" width="9.85546875" style="199" customWidth="1"/>
    <col min="6407" max="6407" width="11.42578125" style="199" bestFit="1" customWidth="1"/>
    <col min="6408" max="6408" width="10.85546875" style="199" customWidth="1"/>
    <col min="6409" max="6409" width="8.85546875" style="199"/>
    <col min="6410" max="6410" width="10.7109375" style="199" customWidth="1"/>
    <col min="6411" max="6411" width="10.42578125" style="199" bestFit="1" customWidth="1"/>
    <col min="6412" max="6412" width="10.28515625" style="199" customWidth="1"/>
    <col min="6413" max="6413" width="11.42578125" style="199" bestFit="1" customWidth="1"/>
    <col min="6414" max="6655" width="8.85546875" style="199"/>
    <col min="6656" max="6656" width="4.140625" style="199" customWidth="1"/>
    <col min="6657" max="6657" width="9.28515625" style="199" customWidth="1"/>
    <col min="6658" max="6658" width="39.7109375" style="199" customWidth="1"/>
    <col min="6659" max="6661" width="8.85546875" style="199"/>
    <col min="6662" max="6662" width="9.85546875" style="199" customWidth="1"/>
    <col min="6663" max="6663" width="11.42578125" style="199" bestFit="1" customWidth="1"/>
    <col min="6664" max="6664" width="10.85546875" style="199" customWidth="1"/>
    <col min="6665" max="6665" width="8.85546875" style="199"/>
    <col min="6666" max="6666" width="10.7109375" style="199" customWidth="1"/>
    <col min="6667" max="6667" width="10.42578125" style="199" bestFit="1" customWidth="1"/>
    <col min="6668" max="6668" width="10.28515625" style="199" customWidth="1"/>
    <col min="6669" max="6669" width="11.42578125" style="199" bestFit="1" customWidth="1"/>
    <col min="6670" max="6911" width="8.85546875" style="199"/>
    <col min="6912" max="6912" width="4.140625" style="199" customWidth="1"/>
    <col min="6913" max="6913" width="9.28515625" style="199" customWidth="1"/>
    <col min="6914" max="6914" width="39.7109375" style="199" customWidth="1"/>
    <col min="6915" max="6917" width="8.85546875" style="199"/>
    <col min="6918" max="6918" width="9.85546875" style="199" customWidth="1"/>
    <col min="6919" max="6919" width="11.42578125" style="199" bestFit="1" customWidth="1"/>
    <col min="6920" max="6920" width="10.85546875" style="199" customWidth="1"/>
    <col min="6921" max="6921" width="8.85546875" style="199"/>
    <col min="6922" max="6922" width="10.7109375" style="199" customWidth="1"/>
    <col min="6923" max="6923" width="10.42578125" style="199" bestFit="1" customWidth="1"/>
    <col min="6924" max="6924" width="10.28515625" style="199" customWidth="1"/>
    <col min="6925" max="6925" width="11.42578125" style="199" bestFit="1" customWidth="1"/>
    <col min="6926" max="7167" width="8.85546875" style="199"/>
    <col min="7168" max="7168" width="4.140625" style="199" customWidth="1"/>
    <col min="7169" max="7169" width="9.28515625" style="199" customWidth="1"/>
    <col min="7170" max="7170" width="39.7109375" style="199" customWidth="1"/>
    <col min="7171" max="7173" width="8.85546875" style="199"/>
    <col min="7174" max="7174" width="9.85546875" style="199" customWidth="1"/>
    <col min="7175" max="7175" width="11.42578125" style="199" bestFit="1" customWidth="1"/>
    <col min="7176" max="7176" width="10.85546875" style="199" customWidth="1"/>
    <col min="7177" max="7177" width="8.85546875" style="199"/>
    <col min="7178" max="7178" width="10.7109375" style="199" customWidth="1"/>
    <col min="7179" max="7179" width="10.42578125" style="199" bestFit="1" customWidth="1"/>
    <col min="7180" max="7180" width="10.28515625" style="199" customWidth="1"/>
    <col min="7181" max="7181" width="11.42578125" style="199" bestFit="1" customWidth="1"/>
    <col min="7182" max="7423" width="8.85546875" style="199"/>
    <col min="7424" max="7424" width="4.140625" style="199" customWidth="1"/>
    <col min="7425" max="7425" width="9.28515625" style="199" customWidth="1"/>
    <col min="7426" max="7426" width="39.7109375" style="199" customWidth="1"/>
    <col min="7427" max="7429" width="8.85546875" style="199"/>
    <col min="7430" max="7430" width="9.85546875" style="199" customWidth="1"/>
    <col min="7431" max="7431" width="11.42578125" style="199" bestFit="1" customWidth="1"/>
    <col min="7432" max="7432" width="10.85546875" style="199" customWidth="1"/>
    <col min="7433" max="7433" width="8.85546875" style="199"/>
    <col min="7434" max="7434" width="10.7109375" style="199" customWidth="1"/>
    <col min="7435" max="7435" width="10.42578125" style="199" bestFit="1" customWidth="1"/>
    <col min="7436" max="7436" width="10.28515625" style="199" customWidth="1"/>
    <col min="7437" max="7437" width="11.42578125" style="199" bestFit="1" customWidth="1"/>
    <col min="7438" max="7679" width="8.85546875" style="199"/>
    <col min="7680" max="7680" width="4.140625" style="199" customWidth="1"/>
    <col min="7681" max="7681" width="9.28515625" style="199" customWidth="1"/>
    <col min="7682" max="7682" width="39.7109375" style="199" customWidth="1"/>
    <col min="7683" max="7685" width="8.85546875" style="199"/>
    <col min="7686" max="7686" width="9.85546875" style="199" customWidth="1"/>
    <col min="7687" max="7687" width="11.42578125" style="199" bestFit="1" customWidth="1"/>
    <col min="7688" max="7688" width="10.85546875" style="199" customWidth="1"/>
    <col min="7689" max="7689" width="8.85546875" style="199"/>
    <col min="7690" max="7690" width="10.7109375" style="199" customWidth="1"/>
    <col min="7691" max="7691" width="10.42578125" style="199" bestFit="1" customWidth="1"/>
    <col min="7692" max="7692" width="10.28515625" style="199" customWidth="1"/>
    <col min="7693" max="7693" width="11.42578125" style="199" bestFit="1" customWidth="1"/>
    <col min="7694" max="7935" width="8.85546875" style="199"/>
    <col min="7936" max="7936" width="4.140625" style="199" customWidth="1"/>
    <col min="7937" max="7937" width="9.28515625" style="199" customWidth="1"/>
    <col min="7938" max="7938" width="39.7109375" style="199" customWidth="1"/>
    <col min="7939" max="7941" width="8.85546875" style="199"/>
    <col min="7942" max="7942" width="9.85546875" style="199" customWidth="1"/>
    <col min="7943" max="7943" width="11.42578125" style="199" bestFit="1" customWidth="1"/>
    <col min="7944" max="7944" width="10.85546875" style="199" customWidth="1"/>
    <col min="7945" max="7945" width="8.85546875" style="199"/>
    <col min="7946" max="7946" width="10.7109375" style="199" customWidth="1"/>
    <col min="7947" max="7947" width="10.42578125" style="199" bestFit="1" customWidth="1"/>
    <col min="7948" max="7948" width="10.28515625" style="199" customWidth="1"/>
    <col min="7949" max="7949" width="11.42578125" style="199" bestFit="1" customWidth="1"/>
    <col min="7950" max="8191" width="8.85546875" style="199"/>
    <col min="8192" max="8192" width="4.140625" style="199" customWidth="1"/>
    <col min="8193" max="8193" width="9.28515625" style="199" customWidth="1"/>
    <col min="8194" max="8194" width="39.7109375" style="199" customWidth="1"/>
    <col min="8195" max="8197" width="8.85546875" style="199"/>
    <col min="8198" max="8198" width="9.85546875" style="199" customWidth="1"/>
    <col min="8199" max="8199" width="11.42578125" style="199" bestFit="1" customWidth="1"/>
    <col min="8200" max="8200" width="10.85546875" style="199" customWidth="1"/>
    <col min="8201" max="8201" width="8.85546875" style="199"/>
    <col min="8202" max="8202" width="10.7109375" style="199" customWidth="1"/>
    <col min="8203" max="8203" width="10.42578125" style="199" bestFit="1" customWidth="1"/>
    <col min="8204" max="8204" width="10.28515625" style="199" customWidth="1"/>
    <col min="8205" max="8205" width="11.42578125" style="199" bestFit="1" customWidth="1"/>
    <col min="8206" max="8447" width="8.85546875" style="199"/>
    <col min="8448" max="8448" width="4.140625" style="199" customWidth="1"/>
    <col min="8449" max="8449" width="9.28515625" style="199" customWidth="1"/>
    <col min="8450" max="8450" width="39.7109375" style="199" customWidth="1"/>
    <col min="8451" max="8453" width="8.85546875" style="199"/>
    <col min="8454" max="8454" width="9.85546875" style="199" customWidth="1"/>
    <col min="8455" max="8455" width="11.42578125" style="199" bestFit="1" customWidth="1"/>
    <col min="8456" max="8456" width="10.85546875" style="199" customWidth="1"/>
    <col min="8457" max="8457" width="8.85546875" style="199"/>
    <col min="8458" max="8458" width="10.7109375" style="199" customWidth="1"/>
    <col min="8459" max="8459" width="10.42578125" style="199" bestFit="1" customWidth="1"/>
    <col min="8460" max="8460" width="10.28515625" style="199" customWidth="1"/>
    <col min="8461" max="8461" width="11.42578125" style="199" bestFit="1" customWidth="1"/>
    <col min="8462" max="8703" width="8.85546875" style="199"/>
    <col min="8704" max="8704" width="4.140625" style="199" customWidth="1"/>
    <col min="8705" max="8705" width="9.28515625" style="199" customWidth="1"/>
    <col min="8706" max="8706" width="39.7109375" style="199" customWidth="1"/>
    <col min="8707" max="8709" width="8.85546875" style="199"/>
    <col min="8710" max="8710" width="9.85546875" style="199" customWidth="1"/>
    <col min="8711" max="8711" width="11.42578125" style="199" bestFit="1" customWidth="1"/>
    <col min="8712" max="8712" width="10.85546875" style="199" customWidth="1"/>
    <col min="8713" max="8713" width="8.85546875" style="199"/>
    <col min="8714" max="8714" width="10.7109375" style="199" customWidth="1"/>
    <col min="8715" max="8715" width="10.42578125" style="199" bestFit="1" customWidth="1"/>
    <col min="8716" max="8716" width="10.28515625" style="199" customWidth="1"/>
    <col min="8717" max="8717" width="11.42578125" style="199" bestFit="1" customWidth="1"/>
    <col min="8718" max="8959" width="8.85546875" style="199"/>
    <col min="8960" max="8960" width="4.140625" style="199" customWidth="1"/>
    <col min="8961" max="8961" width="9.28515625" style="199" customWidth="1"/>
    <col min="8962" max="8962" width="39.7109375" style="199" customWidth="1"/>
    <col min="8963" max="8965" width="8.85546875" style="199"/>
    <col min="8966" max="8966" width="9.85546875" style="199" customWidth="1"/>
    <col min="8967" max="8967" width="11.42578125" style="199" bestFit="1" customWidth="1"/>
    <col min="8968" max="8968" width="10.85546875" style="199" customWidth="1"/>
    <col min="8969" max="8969" width="8.85546875" style="199"/>
    <col min="8970" max="8970" width="10.7109375" style="199" customWidth="1"/>
    <col min="8971" max="8971" width="10.42578125" style="199" bestFit="1" customWidth="1"/>
    <col min="8972" max="8972" width="10.28515625" style="199" customWidth="1"/>
    <col min="8973" max="8973" width="11.42578125" style="199" bestFit="1" customWidth="1"/>
    <col min="8974" max="9215" width="8.85546875" style="199"/>
    <col min="9216" max="9216" width="4.140625" style="199" customWidth="1"/>
    <col min="9217" max="9217" width="9.28515625" style="199" customWidth="1"/>
    <col min="9218" max="9218" width="39.7109375" style="199" customWidth="1"/>
    <col min="9219" max="9221" width="8.85546875" style="199"/>
    <col min="9222" max="9222" width="9.85546875" style="199" customWidth="1"/>
    <col min="9223" max="9223" width="11.42578125" style="199" bestFit="1" customWidth="1"/>
    <col min="9224" max="9224" width="10.85546875" style="199" customWidth="1"/>
    <col min="9225" max="9225" width="8.85546875" style="199"/>
    <col min="9226" max="9226" width="10.7109375" style="199" customWidth="1"/>
    <col min="9227" max="9227" width="10.42578125" style="199" bestFit="1" customWidth="1"/>
    <col min="9228" max="9228" width="10.28515625" style="199" customWidth="1"/>
    <col min="9229" max="9229" width="11.42578125" style="199" bestFit="1" customWidth="1"/>
    <col min="9230" max="9471" width="8.85546875" style="199"/>
    <col min="9472" max="9472" width="4.140625" style="199" customWidth="1"/>
    <col min="9473" max="9473" width="9.28515625" style="199" customWidth="1"/>
    <col min="9474" max="9474" width="39.7109375" style="199" customWidth="1"/>
    <col min="9475" max="9477" width="8.85546875" style="199"/>
    <col min="9478" max="9478" width="9.85546875" style="199" customWidth="1"/>
    <col min="9479" max="9479" width="11.42578125" style="199" bestFit="1" customWidth="1"/>
    <col min="9480" max="9480" width="10.85546875" style="199" customWidth="1"/>
    <col min="9481" max="9481" width="8.85546875" style="199"/>
    <col min="9482" max="9482" width="10.7109375" style="199" customWidth="1"/>
    <col min="9483" max="9483" width="10.42578125" style="199" bestFit="1" customWidth="1"/>
    <col min="9484" max="9484" width="10.28515625" style="199" customWidth="1"/>
    <col min="9485" max="9485" width="11.42578125" style="199" bestFit="1" customWidth="1"/>
    <col min="9486" max="9727" width="8.85546875" style="199"/>
    <col min="9728" max="9728" width="4.140625" style="199" customWidth="1"/>
    <col min="9729" max="9729" width="9.28515625" style="199" customWidth="1"/>
    <col min="9730" max="9730" width="39.7109375" style="199" customWidth="1"/>
    <col min="9731" max="9733" width="8.85546875" style="199"/>
    <col min="9734" max="9734" width="9.85546875" style="199" customWidth="1"/>
    <col min="9735" max="9735" width="11.42578125" style="199" bestFit="1" customWidth="1"/>
    <col min="9736" max="9736" width="10.85546875" style="199" customWidth="1"/>
    <col min="9737" max="9737" width="8.85546875" style="199"/>
    <col min="9738" max="9738" width="10.7109375" style="199" customWidth="1"/>
    <col min="9739" max="9739" width="10.42578125" style="199" bestFit="1" customWidth="1"/>
    <col min="9740" max="9740" width="10.28515625" style="199" customWidth="1"/>
    <col min="9741" max="9741" width="11.42578125" style="199" bestFit="1" customWidth="1"/>
    <col min="9742" max="9983" width="8.85546875" style="199"/>
    <col min="9984" max="9984" width="4.140625" style="199" customWidth="1"/>
    <col min="9985" max="9985" width="9.28515625" style="199" customWidth="1"/>
    <col min="9986" max="9986" width="39.7109375" style="199" customWidth="1"/>
    <col min="9987" max="9989" width="8.85546875" style="199"/>
    <col min="9990" max="9990" width="9.85546875" style="199" customWidth="1"/>
    <col min="9991" max="9991" width="11.42578125" style="199" bestFit="1" customWidth="1"/>
    <col min="9992" max="9992" width="10.85546875" style="199" customWidth="1"/>
    <col min="9993" max="9993" width="8.85546875" style="199"/>
    <col min="9994" max="9994" width="10.7109375" style="199" customWidth="1"/>
    <col min="9995" max="9995" width="10.42578125" style="199" bestFit="1" customWidth="1"/>
    <col min="9996" max="9996" width="10.28515625" style="199" customWidth="1"/>
    <col min="9997" max="9997" width="11.42578125" style="199" bestFit="1" customWidth="1"/>
    <col min="9998" max="10239" width="8.85546875" style="199"/>
    <col min="10240" max="10240" width="4.140625" style="199" customWidth="1"/>
    <col min="10241" max="10241" width="9.28515625" style="199" customWidth="1"/>
    <col min="10242" max="10242" width="39.7109375" style="199" customWidth="1"/>
    <col min="10243" max="10245" width="8.85546875" style="199"/>
    <col min="10246" max="10246" width="9.85546875" style="199" customWidth="1"/>
    <col min="10247" max="10247" width="11.42578125" style="199" bestFit="1" customWidth="1"/>
    <col min="10248" max="10248" width="10.85546875" style="199" customWidth="1"/>
    <col min="10249" max="10249" width="8.85546875" style="199"/>
    <col min="10250" max="10250" width="10.7109375" style="199" customWidth="1"/>
    <col min="10251" max="10251" width="10.42578125" style="199" bestFit="1" customWidth="1"/>
    <col min="10252" max="10252" width="10.28515625" style="199" customWidth="1"/>
    <col min="10253" max="10253" width="11.42578125" style="199" bestFit="1" customWidth="1"/>
    <col min="10254" max="10495" width="8.85546875" style="199"/>
    <col min="10496" max="10496" width="4.140625" style="199" customWidth="1"/>
    <col min="10497" max="10497" width="9.28515625" style="199" customWidth="1"/>
    <col min="10498" max="10498" width="39.7109375" style="199" customWidth="1"/>
    <col min="10499" max="10501" width="8.85546875" style="199"/>
    <col min="10502" max="10502" width="9.85546875" style="199" customWidth="1"/>
    <col min="10503" max="10503" width="11.42578125" style="199" bestFit="1" customWidth="1"/>
    <col min="10504" max="10504" width="10.85546875" style="199" customWidth="1"/>
    <col min="10505" max="10505" width="8.85546875" style="199"/>
    <col min="10506" max="10506" width="10.7109375" style="199" customWidth="1"/>
    <col min="10507" max="10507" width="10.42578125" style="199" bestFit="1" customWidth="1"/>
    <col min="10508" max="10508" width="10.28515625" style="199" customWidth="1"/>
    <col min="10509" max="10509" width="11.42578125" style="199" bestFit="1" customWidth="1"/>
    <col min="10510" max="10751" width="8.85546875" style="199"/>
    <col min="10752" max="10752" width="4.140625" style="199" customWidth="1"/>
    <col min="10753" max="10753" width="9.28515625" style="199" customWidth="1"/>
    <col min="10754" max="10754" width="39.7109375" style="199" customWidth="1"/>
    <col min="10755" max="10757" width="8.85546875" style="199"/>
    <col min="10758" max="10758" width="9.85546875" style="199" customWidth="1"/>
    <col min="10759" max="10759" width="11.42578125" style="199" bestFit="1" customWidth="1"/>
    <col min="10760" max="10760" width="10.85546875" style="199" customWidth="1"/>
    <col min="10761" max="10761" width="8.85546875" style="199"/>
    <col min="10762" max="10762" width="10.7109375" style="199" customWidth="1"/>
    <col min="10763" max="10763" width="10.42578125" style="199" bestFit="1" customWidth="1"/>
    <col min="10764" max="10764" width="10.28515625" style="199" customWidth="1"/>
    <col min="10765" max="10765" width="11.42578125" style="199" bestFit="1" customWidth="1"/>
    <col min="10766" max="11007" width="8.85546875" style="199"/>
    <col min="11008" max="11008" width="4.140625" style="199" customWidth="1"/>
    <col min="11009" max="11009" width="9.28515625" style="199" customWidth="1"/>
    <col min="11010" max="11010" width="39.7109375" style="199" customWidth="1"/>
    <col min="11011" max="11013" width="8.85546875" style="199"/>
    <col min="11014" max="11014" width="9.85546875" style="199" customWidth="1"/>
    <col min="11015" max="11015" width="11.42578125" style="199" bestFit="1" customWidth="1"/>
    <col min="11016" max="11016" width="10.85546875" style="199" customWidth="1"/>
    <col min="11017" max="11017" width="8.85546875" style="199"/>
    <col min="11018" max="11018" width="10.7109375" style="199" customWidth="1"/>
    <col min="11019" max="11019" width="10.42578125" style="199" bestFit="1" customWidth="1"/>
    <col min="11020" max="11020" width="10.28515625" style="199" customWidth="1"/>
    <col min="11021" max="11021" width="11.42578125" style="199" bestFit="1" customWidth="1"/>
    <col min="11022" max="11263" width="8.85546875" style="199"/>
    <col min="11264" max="11264" width="4.140625" style="199" customWidth="1"/>
    <col min="11265" max="11265" width="9.28515625" style="199" customWidth="1"/>
    <col min="11266" max="11266" width="39.7109375" style="199" customWidth="1"/>
    <col min="11267" max="11269" width="8.85546875" style="199"/>
    <col min="11270" max="11270" width="9.85546875" style="199" customWidth="1"/>
    <col min="11271" max="11271" width="11.42578125" style="199" bestFit="1" customWidth="1"/>
    <col min="11272" max="11272" width="10.85546875" style="199" customWidth="1"/>
    <col min="11273" max="11273" width="8.85546875" style="199"/>
    <col min="11274" max="11274" width="10.7109375" style="199" customWidth="1"/>
    <col min="11275" max="11275" width="10.42578125" style="199" bestFit="1" customWidth="1"/>
    <col min="11276" max="11276" width="10.28515625" style="199" customWidth="1"/>
    <col min="11277" max="11277" width="11.42578125" style="199" bestFit="1" customWidth="1"/>
    <col min="11278" max="11519" width="8.85546875" style="199"/>
    <col min="11520" max="11520" width="4.140625" style="199" customWidth="1"/>
    <col min="11521" max="11521" width="9.28515625" style="199" customWidth="1"/>
    <col min="11522" max="11522" width="39.7109375" style="199" customWidth="1"/>
    <col min="11523" max="11525" width="8.85546875" style="199"/>
    <col min="11526" max="11526" width="9.85546875" style="199" customWidth="1"/>
    <col min="11527" max="11527" width="11.42578125" style="199" bestFit="1" customWidth="1"/>
    <col min="11528" max="11528" width="10.85546875" style="199" customWidth="1"/>
    <col min="11529" max="11529" width="8.85546875" style="199"/>
    <col min="11530" max="11530" width="10.7109375" style="199" customWidth="1"/>
    <col min="11531" max="11531" width="10.42578125" style="199" bestFit="1" customWidth="1"/>
    <col min="11532" max="11532" width="10.28515625" style="199" customWidth="1"/>
    <col min="11533" max="11533" width="11.42578125" style="199" bestFit="1" customWidth="1"/>
    <col min="11534" max="11775" width="8.85546875" style="199"/>
    <col min="11776" max="11776" width="4.140625" style="199" customWidth="1"/>
    <col min="11777" max="11777" width="9.28515625" style="199" customWidth="1"/>
    <col min="11778" max="11778" width="39.7109375" style="199" customWidth="1"/>
    <col min="11779" max="11781" width="8.85546875" style="199"/>
    <col min="11782" max="11782" width="9.85546875" style="199" customWidth="1"/>
    <col min="11783" max="11783" width="11.42578125" style="199" bestFit="1" customWidth="1"/>
    <col min="11784" max="11784" width="10.85546875" style="199" customWidth="1"/>
    <col min="11785" max="11785" width="8.85546875" style="199"/>
    <col min="11786" max="11786" width="10.7109375" style="199" customWidth="1"/>
    <col min="11787" max="11787" width="10.42578125" style="199" bestFit="1" customWidth="1"/>
    <col min="11788" max="11788" width="10.28515625" style="199" customWidth="1"/>
    <col min="11789" max="11789" width="11.42578125" style="199" bestFit="1" customWidth="1"/>
    <col min="11790" max="12031" width="8.85546875" style="199"/>
    <col min="12032" max="12032" width="4.140625" style="199" customWidth="1"/>
    <col min="12033" max="12033" width="9.28515625" style="199" customWidth="1"/>
    <col min="12034" max="12034" width="39.7109375" style="199" customWidth="1"/>
    <col min="12035" max="12037" width="8.85546875" style="199"/>
    <col min="12038" max="12038" width="9.85546875" style="199" customWidth="1"/>
    <col min="12039" max="12039" width="11.42578125" style="199" bestFit="1" customWidth="1"/>
    <col min="12040" max="12040" width="10.85546875" style="199" customWidth="1"/>
    <col min="12041" max="12041" width="8.85546875" style="199"/>
    <col min="12042" max="12042" width="10.7109375" style="199" customWidth="1"/>
    <col min="12043" max="12043" width="10.42578125" style="199" bestFit="1" customWidth="1"/>
    <col min="12044" max="12044" width="10.28515625" style="199" customWidth="1"/>
    <col min="12045" max="12045" width="11.42578125" style="199" bestFit="1" customWidth="1"/>
    <col min="12046" max="12287" width="8.85546875" style="199"/>
    <col min="12288" max="12288" width="4.140625" style="199" customWidth="1"/>
    <col min="12289" max="12289" width="9.28515625" style="199" customWidth="1"/>
    <col min="12290" max="12290" width="39.7109375" style="199" customWidth="1"/>
    <col min="12291" max="12293" width="8.85546875" style="199"/>
    <col min="12294" max="12294" width="9.85546875" style="199" customWidth="1"/>
    <col min="12295" max="12295" width="11.42578125" style="199" bestFit="1" customWidth="1"/>
    <col min="12296" max="12296" width="10.85546875" style="199" customWidth="1"/>
    <col min="12297" max="12297" width="8.85546875" style="199"/>
    <col min="12298" max="12298" width="10.7109375" style="199" customWidth="1"/>
    <col min="12299" max="12299" width="10.42578125" style="199" bestFit="1" customWidth="1"/>
    <col min="12300" max="12300" width="10.28515625" style="199" customWidth="1"/>
    <col min="12301" max="12301" width="11.42578125" style="199" bestFit="1" customWidth="1"/>
    <col min="12302" max="12543" width="8.85546875" style="199"/>
    <col min="12544" max="12544" width="4.140625" style="199" customWidth="1"/>
    <col min="12545" max="12545" width="9.28515625" style="199" customWidth="1"/>
    <col min="12546" max="12546" width="39.7109375" style="199" customWidth="1"/>
    <col min="12547" max="12549" width="8.85546875" style="199"/>
    <col min="12550" max="12550" width="9.85546875" style="199" customWidth="1"/>
    <col min="12551" max="12551" width="11.42578125" style="199" bestFit="1" customWidth="1"/>
    <col min="12552" max="12552" width="10.85546875" style="199" customWidth="1"/>
    <col min="12553" max="12553" width="8.85546875" style="199"/>
    <col min="12554" max="12554" width="10.7109375" style="199" customWidth="1"/>
    <col min="12555" max="12555" width="10.42578125" style="199" bestFit="1" customWidth="1"/>
    <col min="12556" max="12556" width="10.28515625" style="199" customWidth="1"/>
    <col min="12557" max="12557" width="11.42578125" style="199" bestFit="1" customWidth="1"/>
    <col min="12558" max="12799" width="8.85546875" style="199"/>
    <col min="12800" max="12800" width="4.140625" style="199" customWidth="1"/>
    <col min="12801" max="12801" width="9.28515625" style="199" customWidth="1"/>
    <col min="12802" max="12802" width="39.7109375" style="199" customWidth="1"/>
    <col min="12803" max="12805" width="8.85546875" style="199"/>
    <col min="12806" max="12806" width="9.85546875" style="199" customWidth="1"/>
    <col min="12807" max="12807" width="11.42578125" style="199" bestFit="1" customWidth="1"/>
    <col min="12808" max="12808" width="10.85546875" style="199" customWidth="1"/>
    <col min="12809" max="12809" width="8.85546875" style="199"/>
    <col min="12810" max="12810" width="10.7109375" style="199" customWidth="1"/>
    <col min="12811" max="12811" width="10.42578125" style="199" bestFit="1" customWidth="1"/>
    <col min="12812" max="12812" width="10.28515625" style="199" customWidth="1"/>
    <col min="12813" max="12813" width="11.42578125" style="199" bestFit="1" customWidth="1"/>
    <col min="12814" max="13055" width="8.85546875" style="199"/>
    <col min="13056" max="13056" width="4.140625" style="199" customWidth="1"/>
    <col min="13057" max="13057" width="9.28515625" style="199" customWidth="1"/>
    <col min="13058" max="13058" width="39.7109375" style="199" customWidth="1"/>
    <col min="13059" max="13061" width="8.85546875" style="199"/>
    <col min="13062" max="13062" width="9.85546875" style="199" customWidth="1"/>
    <col min="13063" max="13063" width="11.42578125" style="199" bestFit="1" customWidth="1"/>
    <col min="13064" max="13064" width="10.85546875" style="199" customWidth="1"/>
    <col min="13065" max="13065" width="8.85546875" style="199"/>
    <col min="13066" max="13066" width="10.7109375" style="199" customWidth="1"/>
    <col min="13067" max="13067" width="10.42578125" style="199" bestFit="1" customWidth="1"/>
    <col min="13068" max="13068" width="10.28515625" style="199" customWidth="1"/>
    <col min="13069" max="13069" width="11.42578125" style="199" bestFit="1" customWidth="1"/>
    <col min="13070" max="13311" width="8.85546875" style="199"/>
    <col min="13312" max="13312" width="4.140625" style="199" customWidth="1"/>
    <col min="13313" max="13313" width="9.28515625" style="199" customWidth="1"/>
    <col min="13314" max="13314" width="39.7109375" style="199" customWidth="1"/>
    <col min="13315" max="13317" width="8.85546875" style="199"/>
    <col min="13318" max="13318" width="9.85546875" style="199" customWidth="1"/>
    <col min="13319" max="13319" width="11.42578125" style="199" bestFit="1" customWidth="1"/>
    <col min="13320" max="13320" width="10.85546875" style="199" customWidth="1"/>
    <col min="13321" max="13321" width="8.85546875" style="199"/>
    <col min="13322" max="13322" width="10.7109375" style="199" customWidth="1"/>
    <col min="13323" max="13323" width="10.42578125" style="199" bestFit="1" customWidth="1"/>
    <col min="13324" max="13324" width="10.28515625" style="199" customWidth="1"/>
    <col min="13325" max="13325" width="11.42578125" style="199" bestFit="1" customWidth="1"/>
    <col min="13326" max="13567" width="8.85546875" style="199"/>
    <col min="13568" max="13568" width="4.140625" style="199" customWidth="1"/>
    <col min="13569" max="13569" width="9.28515625" style="199" customWidth="1"/>
    <col min="13570" max="13570" width="39.7109375" style="199" customWidth="1"/>
    <col min="13571" max="13573" width="8.85546875" style="199"/>
    <col min="13574" max="13574" width="9.85546875" style="199" customWidth="1"/>
    <col min="13575" max="13575" width="11.42578125" style="199" bestFit="1" customWidth="1"/>
    <col min="13576" max="13576" width="10.85546875" style="199" customWidth="1"/>
    <col min="13577" max="13577" width="8.85546875" style="199"/>
    <col min="13578" max="13578" width="10.7109375" style="199" customWidth="1"/>
    <col min="13579" max="13579" width="10.42578125" style="199" bestFit="1" customWidth="1"/>
    <col min="13580" max="13580" width="10.28515625" style="199" customWidth="1"/>
    <col min="13581" max="13581" width="11.42578125" style="199" bestFit="1" customWidth="1"/>
    <col min="13582" max="13823" width="8.85546875" style="199"/>
    <col min="13824" max="13824" width="4.140625" style="199" customWidth="1"/>
    <col min="13825" max="13825" width="9.28515625" style="199" customWidth="1"/>
    <col min="13826" max="13826" width="39.7109375" style="199" customWidth="1"/>
    <col min="13827" max="13829" width="8.85546875" style="199"/>
    <col min="13830" max="13830" width="9.85546875" style="199" customWidth="1"/>
    <col min="13831" max="13831" width="11.42578125" style="199" bestFit="1" customWidth="1"/>
    <col min="13832" max="13832" width="10.85546875" style="199" customWidth="1"/>
    <col min="13833" max="13833" width="8.85546875" style="199"/>
    <col min="13834" max="13834" width="10.7109375" style="199" customWidth="1"/>
    <col min="13835" max="13835" width="10.42578125" style="199" bestFit="1" customWidth="1"/>
    <col min="13836" max="13836" width="10.28515625" style="199" customWidth="1"/>
    <col min="13837" max="13837" width="11.42578125" style="199" bestFit="1" customWidth="1"/>
    <col min="13838" max="14079" width="8.85546875" style="199"/>
    <col min="14080" max="14080" width="4.140625" style="199" customWidth="1"/>
    <col min="14081" max="14081" width="9.28515625" style="199" customWidth="1"/>
    <col min="14082" max="14082" width="39.7109375" style="199" customWidth="1"/>
    <col min="14083" max="14085" width="8.85546875" style="199"/>
    <col min="14086" max="14086" width="9.85546875" style="199" customWidth="1"/>
    <col min="14087" max="14087" width="11.42578125" style="199" bestFit="1" customWidth="1"/>
    <col min="14088" max="14088" width="10.85546875" style="199" customWidth="1"/>
    <col min="14089" max="14089" width="8.85546875" style="199"/>
    <col min="14090" max="14090" width="10.7109375" style="199" customWidth="1"/>
    <col min="14091" max="14091" width="10.42578125" style="199" bestFit="1" customWidth="1"/>
    <col min="14092" max="14092" width="10.28515625" style="199" customWidth="1"/>
    <col min="14093" max="14093" width="11.42578125" style="199" bestFit="1" customWidth="1"/>
    <col min="14094" max="14335" width="8.85546875" style="199"/>
    <col min="14336" max="14336" width="4.140625" style="199" customWidth="1"/>
    <col min="14337" max="14337" width="9.28515625" style="199" customWidth="1"/>
    <col min="14338" max="14338" width="39.7109375" style="199" customWidth="1"/>
    <col min="14339" max="14341" width="8.85546875" style="199"/>
    <col min="14342" max="14342" width="9.85546875" style="199" customWidth="1"/>
    <col min="14343" max="14343" width="11.42578125" style="199" bestFit="1" customWidth="1"/>
    <col min="14344" max="14344" width="10.85546875" style="199" customWidth="1"/>
    <col min="14345" max="14345" width="8.85546875" style="199"/>
    <col min="14346" max="14346" width="10.7109375" style="199" customWidth="1"/>
    <col min="14347" max="14347" width="10.42578125" style="199" bestFit="1" customWidth="1"/>
    <col min="14348" max="14348" width="10.28515625" style="199" customWidth="1"/>
    <col min="14349" max="14349" width="11.42578125" style="199" bestFit="1" customWidth="1"/>
    <col min="14350" max="14591" width="8.85546875" style="199"/>
    <col min="14592" max="14592" width="4.140625" style="199" customWidth="1"/>
    <col min="14593" max="14593" width="9.28515625" style="199" customWidth="1"/>
    <col min="14594" max="14594" width="39.7109375" style="199" customWidth="1"/>
    <col min="14595" max="14597" width="8.85546875" style="199"/>
    <col min="14598" max="14598" width="9.85546875" style="199" customWidth="1"/>
    <col min="14599" max="14599" width="11.42578125" style="199" bestFit="1" customWidth="1"/>
    <col min="14600" max="14600" width="10.85546875" style="199" customWidth="1"/>
    <col min="14601" max="14601" width="8.85546875" style="199"/>
    <col min="14602" max="14602" width="10.7109375" style="199" customWidth="1"/>
    <col min="14603" max="14603" width="10.42578125" style="199" bestFit="1" customWidth="1"/>
    <col min="14604" max="14604" width="10.28515625" style="199" customWidth="1"/>
    <col min="14605" max="14605" width="11.42578125" style="199" bestFit="1" customWidth="1"/>
    <col min="14606" max="14847" width="8.85546875" style="199"/>
    <col min="14848" max="14848" width="4.140625" style="199" customWidth="1"/>
    <col min="14849" max="14849" width="9.28515625" style="199" customWidth="1"/>
    <col min="14850" max="14850" width="39.7109375" style="199" customWidth="1"/>
    <col min="14851" max="14853" width="8.85546875" style="199"/>
    <col min="14854" max="14854" width="9.85546875" style="199" customWidth="1"/>
    <col min="14855" max="14855" width="11.42578125" style="199" bestFit="1" customWidth="1"/>
    <col min="14856" max="14856" width="10.85546875" style="199" customWidth="1"/>
    <col min="14857" max="14857" width="8.85546875" style="199"/>
    <col min="14858" max="14858" width="10.7109375" style="199" customWidth="1"/>
    <col min="14859" max="14859" width="10.42578125" style="199" bestFit="1" customWidth="1"/>
    <col min="14860" max="14860" width="10.28515625" style="199" customWidth="1"/>
    <col min="14861" max="14861" width="11.42578125" style="199" bestFit="1" customWidth="1"/>
    <col min="14862" max="15103" width="8.85546875" style="199"/>
    <col min="15104" max="15104" width="4.140625" style="199" customWidth="1"/>
    <col min="15105" max="15105" width="9.28515625" style="199" customWidth="1"/>
    <col min="15106" max="15106" width="39.7109375" style="199" customWidth="1"/>
    <col min="15107" max="15109" width="8.85546875" style="199"/>
    <col min="15110" max="15110" width="9.85546875" style="199" customWidth="1"/>
    <col min="15111" max="15111" width="11.42578125" style="199" bestFit="1" customWidth="1"/>
    <col min="15112" max="15112" width="10.85546875" style="199" customWidth="1"/>
    <col min="15113" max="15113" width="8.85546875" style="199"/>
    <col min="15114" max="15114" width="10.7109375" style="199" customWidth="1"/>
    <col min="15115" max="15115" width="10.42578125" style="199" bestFit="1" customWidth="1"/>
    <col min="15116" max="15116" width="10.28515625" style="199" customWidth="1"/>
    <col min="15117" max="15117" width="11.42578125" style="199" bestFit="1" customWidth="1"/>
    <col min="15118" max="15359" width="8.85546875" style="199"/>
    <col min="15360" max="15360" width="4.140625" style="199" customWidth="1"/>
    <col min="15361" max="15361" width="9.28515625" style="199" customWidth="1"/>
    <col min="15362" max="15362" width="39.7109375" style="199" customWidth="1"/>
    <col min="15363" max="15365" width="8.85546875" style="199"/>
    <col min="15366" max="15366" width="9.85546875" style="199" customWidth="1"/>
    <col min="15367" max="15367" width="11.42578125" style="199" bestFit="1" customWidth="1"/>
    <col min="15368" max="15368" width="10.85546875" style="199" customWidth="1"/>
    <col min="15369" max="15369" width="8.85546875" style="199"/>
    <col min="15370" max="15370" width="10.7109375" style="199" customWidth="1"/>
    <col min="15371" max="15371" width="10.42578125" style="199" bestFit="1" customWidth="1"/>
    <col min="15372" max="15372" width="10.28515625" style="199" customWidth="1"/>
    <col min="15373" max="15373" width="11.42578125" style="199" bestFit="1" customWidth="1"/>
    <col min="15374" max="15615" width="8.85546875" style="199"/>
    <col min="15616" max="15616" width="4.140625" style="199" customWidth="1"/>
    <col min="15617" max="15617" width="9.28515625" style="199" customWidth="1"/>
    <col min="15618" max="15618" width="39.7109375" style="199" customWidth="1"/>
    <col min="15619" max="15621" width="8.85546875" style="199"/>
    <col min="15622" max="15622" width="9.85546875" style="199" customWidth="1"/>
    <col min="15623" max="15623" width="11.42578125" style="199" bestFit="1" customWidth="1"/>
    <col min="15624" max="15624" width="10.85546875" style="199" customWidth="1"/>
    <col min="15625" max="15625" width="8.85546875" style="199"/>
    <col min="15626" max="15626" width="10.7109375" style="199" customWidth="1"/>
    <col min="15627" max="15627" width="10.42578125" style="199" bestFit="1" customWidth="1"/>
    <col min="15628" max="15628" width="10.28515625" style="199" customWidth="1"/>
    <col min="15629" max="15629" width="11.42578125" style="199" bestFit="1" customWidth="1"/>
    <col min="15630" max="15871" width="8.85546875" style="199"/>
    <col min="15872" max="15872" width="4.140625" style="199" customWidth="1"/>
    <col min="15873" max="15873" width="9.28515625" style="199" customWidth="1"/>
    <col min="15874" max="15874" width="39.7109375" style="199" customWidth="1"/>
    <col min="15875" max="15877" width="8.85546875" style="199"/>
    <col min="15878" max="15878" width="9.85546875" style="199" customWidth="1"/>
    <col min="15879" max="15879" width="11.42578125" style="199" bestFit="1" customWidth="1"/>
    <col min="15880" max="15880" width="10.85546875" style="199" customWidth="1"/>
    <col min="15881" max="15881" width="8.85546875" style="199"/>
    <col min="15882" max="15882" width="10.7109375" style="199" customWidth="1"/>
    <col min="15883" max="15883" width="10.42578125" style="199" bestFit="1" customWidth="1"/>
    <col min="15884" max="15884" width="10.28515625" style="199" customWidth="1"/>
    <col min="15885" max="15885" width="11.42578125" style="199" bestFit="1" customWidth="1"/>
    <col min="15886" max="16127" width="8.85546875" style="199"/>
    <col min="16128" max="16128" width="4.140625" style="199" customWidth="1"/>
    <col min="16129" max="16129" width="9.28515625" style="199" customWidth="1"/>
    <col min="16130" max="16130" width="39.7109375" style="199" customWidth="1"/>
    <col min="16131" max="16133" width="8.85546875" style="199"/>
    <col min="16134" max="16134" width="9.85546875" style="199" customWidth="1"/>
    <col min="16135" max="16135" width="11.42578125" style="199" bestFit="1" customWidth="1"/>
    <col min="16136" max="16136" width="10.85546875" style="199" customWidth="1"/>
    <col min="16137" max="16137" width="8.85546875" style="199"/>
    <col min="16138" max="16138" width="10.7109375" style="199" customWidth="1"/>
    <col min="16139" max="16139" width="10.42578125" style="199" bestFit="1" customWidth="1"/>
    <col min="16140" max="16140" width="10.28515625" style="199" customWidth="1"/>
    <col min="16141" max="16141" width="11.42578125" style="199" bestFit="1" customWidth="1"/>
    <col min="16142" max="16384" width="8.85546875" style="199"/>
  </cols>
  <sheetData>
    <row r="1" spans="1:18" ht="1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ht="1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5">
      <c r="A3" s="19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35.450000000000003" customHeight="1">
      <c r="A4" s="457" t="s">
        <v>166</v>
      </c>
      <c r="B4" s="459" t="s">
        <v>167</v>
      </c>
      <c r="C4" s="455" t="s">
        <v>168</v>
      </c>
      <c r="D4" s="453" t="s">
        <v>169</v>
      </c>
      <c r="E4" s="461"/>
      <c r="F4" s="454"/>
      <c r="G4" s="453" t="s">
        <v>170</v>
      </c>
      <c r="H4" s="454"/>
      <c r="I4" s="453" t="s">
        <v>171</v>
      </c>
      <c r="J4" s="454"/>
      <c r="K4" s="453" t="s">
        <v>172</v>
      </c>
      <c r="L4" s="454"/>
      <c r="M4" s="455" t="s">
        <v>173</v>
      </c>
      <c r="N4" s="198"/>
      <c r="O4" s="198"/>
      <c r="P4" s="198"/>
      <c r="Q4" s="198"/>
      <c r="R4" s="198"/>
    </row>
    <row r="5" spans="1:18" ht="60" customHeight="1">
      <c r="A5" s="458"/>
      <c r="B5" s="460"/>
      <c r="C5" s="456"/>
      <c r="D5" s="200" t="s">
        <v>174</v>
      </c>
      <c r="E5" s="200" t="s">
        <v>175</v>
      </c>
      <c r="F5" s="200" t="s">
        <v>60</v>
      </c>
      <c r="G5" s="200" t="s">
        <v>176</v>
      </c>
      <c r="H5" s="200" t="s">
        <v>60</v>
      </c>
      <c r="I5" s="200" t="s">
        <v>176</v>
      </c>
      <c r="J5" s="200" t="s">
        <v>60</v>
      </c>
      <c r="K5" s="200" t="s">
        <v>176</v>
      </c>
      <c r="L5" s="200" t="s">
        <v>60</v>
      </c>
      <c r="M5" s="456"/>
      <c r="N5" s="198"/>
      <c r="O5" s="198"/>
      <c r="P5" s="198"/>
      <c r="Q5" s="198"/>
      <c r="R5" s="198"/>
    </row>
    <row r="6" spans="1:18" ht="15">
      <c r="A6" s="201">
        <v>1</v>
      </c>
      <c r="B6" s="202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  <c r="N6" s="198"/>
      <c r="O6" s="198"/>
      <c r="P6" s="198"/>
      <c r="Q6" s="198"/>
      <c r="R6" s="198"/>
    </row>
    <row r="7" spans="1:18" ht="15">
      <c r="A7" s="203"/>
      <c r="B7" s="202"/>
      <c r="C7" s="203" t="s">
        <v>983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98"/>
      <c r="O7" s="198"/>
      <c r="P7" s="198"/>
      <c r="Q7" s="198"/>
      <c r="R7" s="198"/>
    </row>
    <row r="8" spans="1:18" ht="15">
      <c r="A8" s="203"/>
      <c r="B8" s="202"/>
      <c r="C8" s="203" t="s">
        <v>288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98"/>
      <c r="O8" s="198"/>
      <c r="P8" s="198"/>
      <c r="Q8" s="198"/>
      <c r="R8" s="198"/>
    </row>
    <row r="9" spans="1:18" ht="222" customHeight="1">
      <c r="A9" s="237">
        <v>1</v>
      </c>
      <c r="B9" s="238" t="s">
        <v>984</v>
      </c>
      <c r="C9" s="401" t="s">
        <v>735</v>
      </c>
      <c r="D9" s="237" t="s">
        <v>268</v>
      </c>
      <c r="E9" s="239"/>
      <c r="F9" s="239">
        <v>1</v>
      </c>
      <c r="G9" s="239"/>
      <c r="H9" s="239"/>
      <c r="I9" s="239"/>
      <c r="J9" s="239"/>
      <c r="K9" s="239"/>
      <c r="L9" s="239"/>
      <c r="M9" s="239"/>
      <c r="N9" s="198"/>
      <c r="O9" s="198"/>
      <c r="P9" s="198"/>
      <c r="Q9" s="198"/>
      <c r="R9" s="198"/>
    </row>
    <row r="10" spans="1:18" ht="15">
      <c r="A10" s="237"/>
      <c r="B10" s="238"/>
      <c r="C10" s="239" t="s">
        <v>180</v>
      </c>
      <c r="D10" s="239" t="s">
        <v>18</v>
      </c>
      <c r="E10" s="239">
        <v>1</v>
      </c>
      <c r="F10" s="239">
        <f>E10*F9</f>
        <v>1</v>
      </c>
      <c r="G10" s="239"/>
      <c r="H10" s="239"/>
      <c r="I10" s="239"/>
      <c r="J10" s="239">
        <f t="shared" ref="J10" si="0">I10*F10</f>
        <v>0</v>
      </c>
      <c r="K10" s="239"/>
      <c r="L10" s="239"/>
      <c r="M10" s="239">
        <f t="shared" ref="M10:M13" si="1">L10+J10+H10</f>
        <v>0</v>
      </c>
      <c r="N10" s="198"/>
      <c r="O10" s="198"/>
      <c r="P10" s="198"/>
      <c r="Q10" s="198"/>
      <c r="R10" s="198"/>
    </row>
    <row r="11" spans="1:18" ht="15">
      <c r="A11" s="237"/>
      <c r="B11" s="238"/>
      <c r="C11" s="239" t="s">
        <v>36</v>
      </c>
      <c r="D11" s="239" t="s">
        <v>25</v>
      </c>
      <c r="E11" s="239">
        <v>1.66</v>
      </c>
      <c r="F11" s="239">
        <f>E11*F9</f>
        <v>1.66</v>
      </c>
      <c r="G11" s="239"/>
      <c r="H11" s="239"/>
      <c r="I11" s="239"/>
      <c r="J11" s="239"/>
      <c r="K11" s="239"/>
      <c r="L11" s="240">
        <f t="shared" ref="L11" si="2">K11*F11</f>
        <v>0</v>
      </c>
      <c r="M11" s="240">
        <f t="shared" si="1"/>
        <v>0</v>
      </c>
      <c r="N11" s="198"/>
      <c r="O11" s="198"/>
      <c r="P11" s="198"/>
      <c r="Q11" s="198"/>
      <c r="R11" s="198"/>
    </row>
    <row r="12" spans="1:18" ht="15">
      <c r="A12" s="237"/>
      <c r="B12" s="238"/>
      <c r="C12" s="239" t="s">
        <v>985</v>
      </c>
      <c r="D12" s="239" t="s">
        <v>268</v>
      </c>
      <c r="E12" s="239">
        <v>1</v>
      </c>
      <c r="F12" s="239">
        <f>E12*F9</f>
        <v>1</v>
      </c>
      <c r="G12" s="240"/>
      <c r="H12" s="240">
        <f t="shared" ref="H12:H13" si="3">G12*F12</f>
        <v>0</v>
      </c>
      <c r="I12" s="239"/>
      <c r="J12" s="239"/>
      <c r="K12" s="239"/>
      <c r="L12" s="239"/>
      <c r="M12" s="240">
        <f t="shared" si="1"/>
        <v>0</v>
      </c>
      <c r="N12" s="198"/>
      <c r="O12" s="198"/>
      <c r="P12" s="198"/>
      <c r="Q12" s="198"/>
      <c r="R12" s="198"/>
    </row>
    <row r="13" spans="1:18" ht="15">
      <c r="A13" s="237"/>
      <c r="B13" s="238"/>
      <c r="C13" s="239" t="s">
        <v>21</v>
      </c>
      <c r="D13" s="239" t="s">
        <v>25</v>
      </c>
      <c r="E13" s="239">
        <v>2.99</v>
      </c>
      <c r="F13" s="239">
        <f>E13*F9</f>
        <v>2.99</v>
      </c>
      <c r="G13" s="239"/>
      <c r="H13" s="240">
        <f t="shared" si="3"/>
        <v>0</v>
      </c>
      <c r="I13" s="239"/>
      <c r="J13" s="239"/>
      <c r="K13" s="239"/>
      <c r="L13" s="239"/>
      <c r="M13" s="240">
        <f t="shared" si="1"/>
        <v>0</v>
      </c>
      <c r="N13" s="198"/>
      <c r="O13" s="198"/>
      <c r="P13" s="198"/>
      <c r="Q13" s="198"/>
      <c r="R13" s="198"/>
    </row>
    <row r="14" spans="1:18" ht="30">
      <c r="A14" s="237">
        <v>2</v>
      </c>
      <c r="B14" s="238" t="s">
        <v>987</v>
      </c>
      <c r="C14" s="237" t="s">
        <v>988</v>
      </c>
      <c r="D14" s="237" t="s">
        <v>268</v>
      </c>
      <c r="E14" s="239"/>
      <c r="F14" s="239">
        <v>2</v>
      </c>
      <c r="G14" s="239"/>
      <c r="H14" s="239"/>
      <c r="I14" s="239"/>
      <c r="J14" s="239"/>
      <c r="K14" s="239"/>
      <c r="L14" s="239"/>
      <c r="M14" s="239"/>
      <c r="N14" s="198"/>
      <c r="O14" s="198"/>
      <c r="P14" s="198"/>
      <c r="Q14" s="198"/>
      <c r="R14" s="198"/>
    </row>
    <row r="15" spans="1:18" ht="15">
      <c r="A15" s="237"/>
      <c r="B15" s="238"/>
      <c r="C15" s="239" t="s">
        <v>180</v>
      </c>
      <c r="D15" s="239" t="s">
        <v>18</v>
      </c>
      <c r="E15" s="239">
        <v>1</v>
      </c>
      <c r="F15" s="239">
        <f>E15*F14</f>
        <v>2</v>
      </c>
      <c r="G15" s="239"/>
      <c r="H15" s="239"/>
      <c r="I15" s="239"/>
      <c r="J15" s="239">
        <f t="shared" ref="J15" si="4">I15*F15</f>
        <v>0</v>
      </c>
      <c r="K15" s="239"/>
      <c r="L15" s="239"/>
      <c r="M15" s="239">
        <f t="shared" ref="M15:M18" si="5">L15+J15+H15</f>
        <v>0</v>
      </c>
      <c r="N15" s="198"/>
      <c r="O15" s="198"/>
      <c r="P15" s="198"/>
      <c r="Q15" s="198"/>
      <c r="R15" s="198"/>
    </row>
    <row r="16" spans="1:18" ht="15">
      <c r="A16" s="237"/>
      <c r="B16" s="238"/>
      <c r="C16" s="239" t="s">
        <v>36</v>
      </c>
      <c r="D16" s="239" t="s">
        <v>25</v>
      </c>
      <c r="E16" s="239">
        <v>0.09</v>
      </c>
      <c r="F16" s="239">
        <f>E16*F14</f>
        <v>0.18</v>
      </c>
      <c r="G16" s="239"/>
      <c r="H16" s="239"/>
      <c r="I16" s="239"/>
      <c r="J16" s="239"/>
      <c r="K16" s="239"/>
      <c r="L16" s="240">
        <f t="shared" ref="L16" si="6">K16*F16</f>
        <v>0</v>
      </c>
      <c r="M16" s="240">
        <f t="shared" si="5"/>
        <v>0</v>
      </c>
      <c r="N16" s="198"/>
      <c r="O16" s="198"/>
      <c r="P16" s="198"/>
      <c r="Q16" s="198"/>
      <c r="R16" s="198"/>
    </row>
    <row r="17" spans="1:18" ht="15">
      <c r="A17" s="237"/>
      <c r="B17" s="238"/>
      <c r="C17" s="402" t="s">
        <v>736</v>
      </c>
      <c r="D17" s="239" t="s">
        <v>268</v>
      </c>
      <c r="E17" s="239">
        <v>1</v>
      </c>
      <c r="F17" s="239">
        <f>E17*F14</f>
        <v>2</v>
      </c>
      <c r="G17" s="240"/>
      <c r="H17" s="240">
        <f t="shared" ref="H17:H18" si="7">G17*F17</f>
        <v>0</v>
      </c>
      <c r="I17" s="239"/>
      <c r="J17" s="239"/>
      <c r="K17" s="239"/>
      <c r="L17" s="239"/>
      <c r="M17" s="240">
        <f t="shared" si="5"/>
        <v>0</v>
      </c>
      <c r="N17" s="198"/>
      <c r="O17" s="198"/>
      <c r="P17" s="198"/>
      <c r="Q17" s="198"/>
      <c r="R17" s="198"/>
    </row>
    <row r="18" spans="1:18" ht="15">
      <c r="A18" s="237"/>
      <c r="B18" s="238"/>
      <c r="C18" s="239" t="s">
        <v>21</v>
      </c>
      <c r="D18" s="239" t="s">
        <v>25</v>
      </c>
      <c r="E18" s="239">
        <v>0.68</v>
      </c>
      <c r="F18" s="239">
        <f>E18*F14</f>
        <v>1.36</v>
      </c>
      <c r="G18" s="239"/>
      <c r="H18" s="240">
        <f t="shared" si="7"/>
        <v>0</v>
      </c>
      <c r="I18" s="239"/>
      <c r="J18" s="239"/>
      <c r="K18" s="239"/>
      <c r="L18" s="239"/>
      <c r="M18" s="240">
        <f t="shared" si="5"/>
        <v>0</v>
      </c>
      <c r="N18" s="198"/>
      <c r="O18" s="198"/>
      <c r="P18" s="198"/>
      <c r="Q18" s="198"/>
      <c r="R18" s="198"/>
    </row>
    <row r="19" spans="1:18" ht="30">
      <c r="A19" s="237">
        <v>3</v>
      </c>
      <c r="B19" s="238" t="s">
        <v>989</v>
      </c>
      <c r="C19" s="403" t="s">
        <v>990</v>
      </c>
      <c r="D19" s="237" t="s">
        <v>19</v>
      </c>
      <c r="E19" s="239"/>
      <c r="F19" s="239">
        <v>1</v>
      </c>
      <c r="G19" s="239"/>
      <c r="H19" s="239"/>
      <c r="I19" s="239"/>
      <c r="J19" s="239"/>
      <c r="K19" s="239"/>
      <c r="L19" s="239"/>
      <c r="M19" s="239"/>
      <c r="N19" s="198"/>
      <c r="O19" s="198"/>
      <c r="P19" s="198"/>
      <c r="Q19" s="198"/>
      <c r="R19" s="198"/>
    </row>
    <row r="20" spans="1:18" ht="15">
      <c r="A20" s="237"/>
      <c r="B20" s="238"/>
      <c r="C20" s="239" t="s">
        <v>180</v>
      </c>
      <c r="D20" s="239" t="s">
        <v>18</v>
      </c>
      <c r="E20" s="239">
        <v>1</v>
      </c>
      <c r="F20" s="239">
        <f>E20*F19</f>
        <v>1</v>
      </c>
      <c r="G20" s="239"/>
      <c r="H20" s="239"/>
      <c r="I20" s="239"/>
      <c r="J20" s="239">
        <f t="shared" ref="J20" si="8">I20*F20</f>
        <v>0</v>
      </c>
      <c r="K20" s="239"/>
      <c r="L20" s="239"/>
      <c r="M20" s="239">
        <f t="shared" ref="M20:M23" si="9">L20+J20+H20</f>
        <v>0</v>
      </c>
      <c r="N20" s="198"/>
      <c r="O20" s="198"/>
      <c r="P20" s="198"/>
      <c r="Q20" s="198"/>
      <c r="R20" s="198"/>
    </row>
    <row r="21" spans="1:18" ht="15">
      <c r="A21" s="237"/>
      <c r="B21" s="238"/>
      <c r="C21" s="239" t="s">
        <v>36</v>
      </c>
      <c r="D21" s="239" t="s">
        <v>25</v>
      </c>
      <c r="E21" s="239">
        <v>6.21</v>
      </c>
      <c r="F21" s="239">
        <f>E21*F19</f>
        <v>6.21</v>
      </c>
      <c r="G21" s="239"/>
      <c r="H21" s="239"/>
      <c r="I21" s="239"/>
      <c r="J21" s="239"/>
      <c r="K21" s="239"/>
      <c r="L21" s="240">
        <f t="shared" ref="L21" si="10">K21*F21</f>
        <v>0</v>
      </c>
      <c r="M21" s="240">
        <f t="shared" si="9"/>
        <v>0</v>
      </c>
      <c r="N21" s="198"/>
      <c r="O21" s="198"/>
      <c r="P21" s="198"/>
      <c r="Q21" s="198"/>
      <c r="R21" s="198"/>
    </row>
    <row r="22" spans="1:18" ht="15">
      <c r="A22" s="237"/>
      <c r="B22" s="238"/>
      <c r="C22" s="402" t="s">
        <v>991</v>
      </c>
      <c r="D22" s="239" t="s">
        <v>19</v>
      </c>
      <c r="E22" s="239">
        <v>1</v>
      </c>
      <c r="F22" s="239">
        <f>E22*F19</f>
        <v>1</v>
      </c>
      <c r="G22" s="240"/>
      <c r="H22" s="240">
        <f t="shared" ref="H22:H23" si="11">G22*F22</f>
        <v>0</v>
      </c>
      <c r="I22" s="239"/>
      <c r="J22" s="239"/>
      <c r="K22" s="239"/>
      <c r="L22" s="239"/>
      <c r="M22" s="240">
        <f t="shared" si="9"/>
        <v>0</v>
      </c>
      <c r="N22" s="198"/>
      <c r="O22" s="198"/>
      <c r="P22" s="198"/>
      <c r="Q22" s="198"/>
      <c r="R22" s="198"/>
    </row>
    <row r="23" spans="1:18" ht="15">
      <c r="A23" s="237"/>
      <c r="B23" s="238"/>
      <c r="C23" s="239" t="s">
        <v>21</v>
      </c>
      <c r="D23" s="239" t="s">
        <v>25</v>
      </c>
      <c r="E23" s="239">
        <v>8.68</v>
      </c>
      <c r="F23" s="239">
        <f>E23*F19</f>
        <v>8.68</v>
      </c>
      <c r="G23" s="239"/>
      <c r="H23" s="240">
        <f t="shared" si="11"/>
        <v>0</v>
      </c>
      <c r="I23" s="239"/>
      <c r="J23" s="239"/>
      <c r="K23" s="239"/>
      <c r="L23" s="239"/>
      <c r="M23" s="240">
        <f t="shared" si="9"/>
        <v>0</v>
      </c>
      <c r="N23" s="198"/>
      <c r="O23" s="198"/>
      <c r="P23" s="198"/>
      <c r="Q23" s="198"/>
      <c r="R23" s="198"/>
    </row>
    <row r="24" spans="1:18" ht="30">
      <c r="A24" s="237">
        <v>4</v>
      </c>
      <c r="B24" s="238" t="s">
        <v>243</v>
      </c>
      <c r="C24" s="403" t="s">
        <v>737</v>
      </c>
      <c r="D24" s="237" t="s">
        <v>19</v>
      </c>
      <c r="E24" s="239"/>
      <c r="F24" s="239">
        <v>1</v>
      </c>
      <c r="G24" s="239"/>
      <c r="H24" s="239"/>
      <c r="I24" s="239"/>
      <c r="J24" s="239"/>
      <c r="K24" s="239"/>
      <c r="L24" s="239"/>
      <c r="M24" s="239"/>
      <c r="N24" s="198"/>
      <c r="O24" s="198"/>
      <c r="P24" s="198"/>
      <c r="Q24" s="198"/>
      <c r="R24" s="198"/>
    </row>
    <row r="25" spans="1:18" ht="15">
      <c r="A25" s="237"/>
      <c r="B25" s="238"/>
      <c r="C25" s="239" t="s">
        <v>180</v>
      </c>
      <c r="D25" s="239" t="s">
        <v>18</v>
      </c>
      <c r="E25" s="239">
        <v>1</v>
      </c>
      <c r="F25" s="239">
        <f>E25*F24</f>
        <v>1</v>
      </c>
      <c r="G25" s="239"/>
      <c r="H25" s="239"/>
      <c r="I25" s="239"/>
      <c r="J25" s="239">
        <f t="shared" ref="J25" si="12">I25*F25</f>
        <v>0</v>
      </c>
      <c r="K25" s="239"/>
      <c r="L25" s="239"/>
      <c r="M25" s="239">
        <f t="shared" ref="M25:M28" si="13">L25+J25+H25</f>
        <v>0</v>
      </c>
      <c r="N25" s="198"/>
      <c r="O25" s="198"/>
      <c r="P25" s="198"/>
      <c r="Q25" s="198"/>
      <c r="R25" s="198"/>
    </row>
    <row r="26" spans="1:18" ht="15">
      <c r="A26" s="237"/>
      <c r="B26" s="238"/>
      <c r="C26" s="239" t="s">
        <v>36</v>
      </c>
      <c r="D26" s="239" t="s">
        <v>25</v>
      </c>
      <c r="E26" s="239">
        <v>0.51</v>
      </c>
      <c r="F26" s="239">
        <f>E26*F24</f>
        <v>0.51</v>
      </c>
      <c r="G26" s="239"/>
      <c r="H26" s="239"/>
      <c r="I26" s="239"/>
      <c r="J26" s="239"/>
      <c r="K26" s="239"/>
      <c r="L26" s="240">
        <f t="shared" ref="L26" si="14">K26*F26</f>
        <v>0</v>
      </c>
      <c r="M26" s="240">
        <f t="shared" si="13"/>
        <v>0</v>
      </c>
      <c r="N26" s="198"/>
      <c r="O26" s="198"/>
      <c r="P26" s="198"/>
      <c r="Q26" s="198"/>
      <c r="R26" s="198"/>
    </row>
    <row r="27" spans="1:18" ht="15">
      <c r="A27" s="237"/>
      <c r="B27" s="238"/>
      <c r="C27" s="402" t="s">
        <v>737</v>
      </c>
      <c r="D27" s="239" t="s">
        <v>19</v>
      </c>
      <c r="E27" s="239">
        <v>1</v>
      </c>
      <c r="F27" s="239">
        <f>E27*F24</f>
        <v>1</v>
      </c>
      <c r="G27" s="240"/>
      <c r="H27" s="240">
        <f t="shared" ref="H27:H28" si="15">G27*F27</f>
        <v>0</v>
      </c>
      <c r="I27" s="239"/>
      <c r="J27" s="239"/>
      <c r="K27" s="239"/>
      <c r="L27" s="239"/>
      <c r="M27" s="240">
        <f t="shared" si="13"/>
        <v>0</v>
      </c>
      <c r="N27" s="198"/>
      <c r="O27" s="198"/>
      <c r="P27" s="198"/>
      <c r="Q27" s="198"/>
      <c r="R27" s="198"/>
    </row>
    <row r="28" spans="1:18" ht="15">
      <c r="A28" s="237"/>
      <c r="B28" s="238"/>
      <c r="C28" s="239" t="s">
        <v>21</v>
      </c>
      <c r="D28" s="239" t="s">
        <v>25</v>
      </c>
      <c r="E28" s="239">
        <v>0.37</v>
      </c>
      <c r="F28" s="239">
        <f>E28*F24</f>
        <v>0.37</v>
      </c>
      <c r="G28" s="239"/>
      <c r="H28" s="240">
        <f t="shared" si="15"/>
        <v>0</v>
      </c>
      <c r="I28" s="239"/>
      <c r="J28" s="239"/>
      <c r="K28" s="239"/>
      <c r="L28" s="239"/>
      <c r="M28" s="240">
        <f t="shared" si="13"/>
        <v>0</v>
      </c>
      <c r="N28" s="198"/>
      <c r="O28" s="198"/>
      <c r="P28" s="198"/>
      <c r="Q28" s="198"/>
      <c r="R28" s="198"/>
    </row>
    <row r="29" spans="1:18" ht="15">
      <c r="A29" s="237">
        <v>5</v>
      </c>
      <c r="B29" s="238" t="s">
        <v>992</v>
      </c>
      <c r="C29" s="403" t="s">
        <v>738</v>
      </c>
      <c r="D29" s="237" t="s">
        <v>19</v>
      </c>
      <c r="E29" s="239"/>
      <c r="F29" s="239">
        <v>8</v>
      </c>
      <c r="G29" s="239"/>
      <c r="H29" s="239"/>
      <c r="I29" s="239"/>
      <c r="J29" s="239"/>
      <c r="K29" s="239"/>
      <c r="L29" s="239"/>
      <c r="M29" s="239"/>
      <c r="N29" s="198"/>
      <c r="O29" s="198"/>
      <c r="P29" s="198"/>
      <c r="Q29" s="198"/>
      <c r="R29" s="198"/>
    </row>
    <row r="30" spans="1:18" ht="15">
      <c r="A30" s="237"/>
      <c r="B30" s="238"/>
      <c r="C30" s="239" t="s">
        <v>180</v>
      </c>
      <c r="D30" s="239" t="s">
        <v>18</v>
      </c>
      <c r="E30" s="239">
        <v>1</v>
      </c>
      <c r="F30" s="239">
        <f>E30*F29</f>
        <v>8</v>
      </c>
      <c r="G30" s="239"/>
      <c r="H30" s="239"/>
      <c r="I30" s="239"/>
      <c r="J30" s="239">
        <f t="shared" ref="J30" si="16">I30*F30</f>
        <v>0</v>
      </c>
      <c r="K30" s="239"/>
      <c r="L30" s="239"/>
      <c r="M30" s="239">
        <f t="shared" ref="M30:M33" si="17">L30+J30+H30</f>
        <v>0</v>
      </c>
      <c r="N30" s="198"/>
      <c r="O30" s="198"/>
      <c r="P30" s="198"/>
      <c r="Q30" s="198"/>
      <c r="R30" s="198"/>
    </row>
    <row r="31" spans="1:18" ht="15">
      <c r="A31" s="237"/>
      <c r="B31" s="238"/>
      <c r="C31" s="239" t="s">
        <v>36</v>
      </c>
      <c r="D31" s="239" t="s">
        <v>25</v>
      </c>
      <c r="E31" s="239">
        <v>0.01</v>
      </c>
      <c r="F31" s="239">
        <f>E31*F29</f>
        <v>0.08</v>
      </c>
      <c r="G31" s="239"/>
      <c r="H31" s="239"/>
      <c r="I31" s="239"/>
      <c r="J31" s="239"/>
      <c r="K31" s="239"/>
      <c r="L31" s="240">
        <f t="shared" ref="L31" si="18">K31*F31</f>
        <v>0</v>
      </c>
      <c r="M31" s="240">
        <f t="shared" si="17"/>
        <v>0</v>
      </c>
      <c r="N31" s="198"/>
      <c r="O31" s="198"/>
      <c r="P31" s="198"/>
      <c r="Q31" s="198"/>
      <c r="R31" s="198"/>
    </row>
    <row r="32" spans="1:18" ht="15">
      <c r="A32" s="237"/>
      <c r="B32" s="238"/>
      <c r="C32" s="402" t="s">
        <v>738</v>
      </c>
      <c r="D32" s="239" t="s">
        <v>19</v>
      </c>
      <c r="E32" s="239">
        <v>1</v>
      </c>
      <c r="F32" s="239">
        <f>E32*F29</f>
        <v>8</v>
      </c>
      <c r="G32" s="240"/>
      <c r="H32" s="240">
        <f t="shared" ref="H32:H33" si="19">G32*F32</f>
        <v>0</v>
      </c>
      <c r="I32" s="239"/>
      <c r="J32" s="239"/>
      <c r="K32" s="239"/>
      <c r="L32" s="239"/>
      <c r="M32" s="240">
        <f t="shared" si="17"/>
        <v>0</v>
      </c>
      <c r="N32" s="198"/>
      <c r="O32" s="198"/>
      <c r="P32" s="198"/>
      <c r="Q32" s="198"/>
      <c r="R32" s="198"/>
    </row>
    <row r="33" spans="1:18" ht="15">
      <c r="A33" s="237"/>
      <c r="B33" s="238"/>
      <c r="C33" s="239" t="s">
        <v>21</v>
      </c>
      <c r="D33" s="239" t="s">
        <v>25</v>
      </c>
      <c r="E33" s="239">
        <v>0.02</v>
      </c>
      <c r="F33" s="239">
        <f>E33*F29</f>
        <v>0.16</v>
      </c>
      <c r="G33" s="239"/>
      <c r="H33" s="240">
        <f t="shared" si="19"/>
        <v>0</v>
      </c>
      <c r="I33" s="239"/>
      <c r="J33" s="239"/>
      <c r="K33" s="239"/>
      <c r="L33" s="239"/>
      <c r="M33" s="240">
        <f t="shared" si="17"/>
        <v>0</v>
      </c>
      <c r="N33" s="198"/>
      <c r="O33" s="198"/>
      <c r="P33" s="198"/>
      <c r="Q33" s="198"/>
      <c r="R33" s="198"/>
    </row>
    <row r="34" spans="1:18" ht="30">
      <c r="A34" s="237">
        <v>6</v>
      </c>
      <c r="B34" s="238" t="s">
        <v>992</v>
      </c>
      <c r="C34" s="403" t="s">
        <v>739</v>
      </c>
      <c r="D34" s="237" t="s">
        <v>19</v>
      </c>
      <c r="E34" s="239"/>
      <c r="F34" s="239">
        <v>8</v>
      </c>
      <c r="G34" s="239"/>
      <c r="H34" s="239"/>
      <c r="I34" s="239"/>
      <c r="J34" s="239"/>
      <c r="K34" s="239"/>
      <c r="L34" s="239"/>
      <c r="M34" s="239"/>
      <c r="N34" s="198"/>
      <c r="O34" s="198"/>
      <c r="P34" s="198"/>
      <c r="Q34" s="198"/>
      <c r="R34" s="198"/>
    </row>
    <row r="35" spans="1:18" ht="15">
      <c r="A35" s="237"/>
      <c r="B35" s="238"/>
      <c r="C35" s="239" t="s">
        <v>180</v>
      </c>
      <c r="D35" s="239" t="s">
        <v>18</v>
      </c>
      <c r="E35" s="239">
        <v>1</v>
      </c>
      <c r="F35" s="239">
        <f>E35*F34</f>
        <v>8</v>
      </c>
      <c r="G35" s="239"/>
      <c r="H35" s="239"/>
      <c r="I35" s="239"/>
      <c r="J35" s="239">
        <f t="shared" ref="J35" si="20">I35*F35</f>
        <v>0</v>
      </c>
      <c r="K35" s="239"/>
      <c r="L35" s="239"/>
      <c r="M35" s="239">
        <f t="shared" ref="M35:M38" si="21">L35+J35+H35</f>
        <v>0</v>
      </c>
      <c r="N35" s="198"/>
      <c r="O35" s="198"/>
      <c r="P35" s="198"/>
      <c r="Q35" s="198"/>
      <c r="R35" s="198"/>
    </row>
    <row r="36" spans="1:18" ht="15">
      <c r="A36" s="237"/>
      <c r="B36" s="238"/>
      <c r="C36" s="239" t="s">
        <v>36</v>
      </c>
      <c r="D36" s="239" t="s">
        <v>25</v>
      </c>
      <c r="E36" s="239">
        <v>0.01</v>
      </c>
      <c r="F36" s="239">
        <f>E36*F34</f>
        <v>0.08</v>
      </c>
      <c r="G36" s="239"/>
      <c r="H36" s="239"/>
      <c r="I36" s="239"/>
      <c r="J36" s="239"/>
      <c r="K36" s="239"/>
      <c r="L36" s="240">
        <f t="shared" ref="L36" si="22">K36*F36</f>
        <v>0</v>
      </c>
      <c r="M36" s="240">
        <f t="shared" si="21"/>
        <v>0</v>
      </c>
      <c r="N36" s="198"/>
      <c r="O36" s="198"/>
      <c r="P36" s="198"/>
      <c r="Q36" s="198"/>
      <c r="R36" s="198"/>
    </row>
    <row r="37" spans="1:18" ht="15">
      <c r="A37" s="237"/>
      <c r="B37" s="238"/>
      <c r="C37" s="402" t="s">
        <v>738</v>
      </c>
      <c r="D37" s="239" t="s">
        <v>19</v>
      </c>
      <c r="E37" s="239">
        <v>1</v>
      </c>
      <c r="F37" s="239">
        <f>E37*F34</f>
        <v>8</v>
      </c>
      <c r="G37" s="240"/>
      <c r="H37" s="240">
        <f t="shared" ref="H37:H38" si="23">G37*F37</f>
        <v>0</v>
      </c>
      <c r="I37" s="239"/>
      <c r="J37" s="239"/>
      <c r="K37" s="239"/>
      <c r="L37" s="239"/>
      <c r="M37" s="240">
        <f t="shared" si="21"/>
        <v>0</v>
      </c>
      <c r="N37" s="198"/>
      <c r="O37" s="198"/>
      <c r="P37" s="198"/>
      <c r="Q37" s="198"/>
      <c r="R37" s="198"/>
    </row>
    <row r="38" spans="1:18" ht="15">
      <c r="A38" s="237"/>
      <c r="B38" s="238"/>
      <c r="C38" s="239" t="s">
        <v>21</v>
      </c>
      <c r="D38" s="239" t="s">
        <v>25</v>
      </c>
      <c r="E38" s="239">
        <v>0.02</v>
      </c>
      <c r="F38" s="239">
        <f>E38*F34</f>
        <v>0.16</v>
      </c>
      <c r="G38" s="239"/>
      <c r="H38" s="240">
        <f t="shared" si="23"/>
        <v>0</v>
      </c>
      <c r="I38" s="239"/>
      <c r="J38" s="239"/>
      <c r="K38" s="239"/>
      <c r="L38" s="239"/>
      <c r="M38" s="240">
        <f t="shared" si="21"/>
        <v>0</v>
      </c>
      <c r="N38" s="198"/>
      <c r="O38" s="198"/>
      <c r="P38" s="198"/>
      <c r="Q38" s="198"/>
      <c r="R38" s="198"/>
    </row>
    <row r="39" spans="1:18" ht="15">
      <c r="A39" s="237">
        <v>7</v>
      </c>
      <c r="B39" s="238" t="s">
        <v>986</v>
      </c>
      <c r="C39" s="403" t="s">
        <v>740</v>
      </c>
      <c r="D39" s="237" t="s">
        <v>19</v>
      </c>
      <c r="E39" s="239"/>
      <c r="F39" s="239">
        <v>3</v>
      </c>
      <c r="G39" s="239"/>
      <c r="H39" s="239"/>
      <c r="I39" s="239"/>
      <c r="J39" s="239"/>
      <c r="K39" s="239"/>
      <c r="L39" s="239"/>
      <c r="M39" s="239"/>
      <c r="N39" s="198"/>
      <c r="O39" s="198"/>
      <c r="P39" s="198"/>
      <c r="Q39" s="198"/>
      <c r="R39" s="198"/>
    </row>
    <row r="40" spans="1:18" ht="15">
      <c r="A40" s="237"/>
      <c r="B40" s="238"/>
      <c r="C40" s="239" t="s">
        <v>180</v>
      </c>
      <c r="D40" s="239" t="s">
        <v>18</v>
      </c>
      <c r="E40" s="239">
        <v>1</v>
      </c>
      <c r="F40" s="239">
        <f>E40*F39</f>
        <v>3</v>
      </c>
      <c r="G40" s="239"/>
      <c r="H40" s="239"/>
      <c r="I40" s="239"/>
      <c r="J40" s="239">
        <f t="shared" ref="J40" si="24">I40*F40</f>
        <v>0</v>
      </c>
      <c r="K40" s="239"/>
      <c r="L40" s="239"/>
      <c r="M40" s="239">
        <f t="shared" ref="M40:M43" si="25">L40+J40+H40</f>
        <v>0</v>
      </c>
      <c r="N40" s="198"/>
      <c r="O40" s="198"/>
      <c r="P40" s="198"/>
      <c r="Q40" s="198"/>
      <c r="R40" s="198"/>
    </row>
    <row r="41" spans="1:18" ht="15">
      <c r="A41" s="237"/>
      <c r="B41" s="238"/>
      <c r="C41" s="239" t="s">
        <v>36</v>
      </c>
      <c r="D41" s="239" t="s">
        <v>25</v>
      </c>
      <c r="E41" s="239">
        <v>1.23</v>
      </c>
      <c r="F41" s="239">
        <f>E41*F39</f>
        <v>3.69</v>
      </c>
      <c r="G41" s="239"/>
      <c r="H41" s="239"/>
      <c r="I41" s="239"/>
      <c r="J41" s="239"/>
      <c r="K41" s="239"/>
      <c r="L41" s="240">
        <f t="shared" ref="L41" si="26">K41*F41</f>
        <v>0</v>
      </c>
      <c r="M41" s="240">
        <f t="shared" si="25"/>
        <v>0</v>
      </c>
      <c r="N41" s="198"/>
      <c r="O41" s="198"/>
      <c r="P41" s="198"/>
      <c r="Q41" s="198"/>
      <c r="R41" s="198"/>
    </row>
    <row r="42" spans="1:18" ht="15">
      <c r="A42" s="237"/>
      <c r="B42" s="238"/>
      <c r="C42" s="402" t="s">
        <v>740</v>
      </c>
      <c r="D42" s="239" t="s">
        <v>19</v>
      </c>
      <c r="E42" s="239">
        <v>1</v>
      </c>
      <c r="F42" s="239">
        <f>E42*F39</f>
        <v>3</v>
      </c>
      <c r="G42" s="240"/>
      <c r="H42" s="240">
        <f t="shared" ref="H42:H43" si="27">G42*F42</f>
        <v>0</v>
      </c>
      <c r="I42" s="239"/>
      <c r="J42" s="239"/>
      <c r="K42" s="239"/>
      <c r="L42" s="239"/>
      <c r="M42" s="240">
        <f t="shared" si="25"/>
        <v>0</v>
      </c>
      <c r="N42" s="198"/>
      <c r="O42" s="198"/>
      <c r="P42" s="198"/>
      <c r="Q42" s="198"/>
      <c r="R42" s="198"/>
    </row>
    <row r="43" spans="1:18" ht="15">
      <c r="A43" s="237"/>
      <c r="B43" s="238"/>
      <c r="C43" s="239" t="s">
        <v>21</v>
      </c>
      <c r="D43" s="239" t="s">
        <v>25</v>
      </c>
      <c r="E43" s="239">
        <v>1.18</v>
      </c>
      <c r="F43" s="239">
        <f>E43*F39</f>
        <v>3.54</v>
      </c>
      <c r="G43" s="239"/>
      <c r="H43" s="240">
        <f t="shared" si="27"/>
        <v>0</v>
      </c>
      <c r="I43" s="239"/>
      <c r="J43" s="239"/>
      <c r="K43" s="239"/>
      <c r="L43" s="239"/>
      <c r="M43" s="240">
        <f t="shared" si="25"/>
        <v>0</v>
      </c>
      <c r="N43" s="198"/>
      <c r="O43" s="198"/>
      <c r="P43" s="198"/>
      <c r="Q43" s="198"/>
      <c r="R43" s="198"/>
    </row>
    <row r="44" spans="1:18" ht="15">
      <c r="A44" s="237">
        <v>8</v>
      </c>
      <c r="B44" s="238" t="s">
        <v>987</v>
      </c>
      <c r="C44" s="403" t="s">
        <v>741</v>
      </c>
      <c r="D44" s="237" t="s">
        <v>19</v>
      </c>
      <c r="E44" s="239"/>
      <c r="F44" s="239">
        <v>1</v>
      </c>
      <c r="G44" s="239"/>
      <c r="H44" s="239"/>
      <c r="I44" s="239"/>
      <c r="J44" s="239"/>
      <c r="K44" s="239"/>
      <c r="L44" s="239"/>
      <c r="M44" s="239"/>
      <c r="N44" s="198"/>
      <c r="O44" s="198"/>
      <c r="P44" s="198"/>
      <c r="Q44" s="198"/>
      <c r="R44" s="198"/>
    </row>
    <row r="45" spans="1:18" ht="15">
      <c r="A45" s="237"/>
      <c r="B45" s="238"/>
      <c r="C45" s="239" t="s">
        <v>180</v>
      </c>
      <c r="D45" s="239" t="s">
        <v>18</v>
      </c>
      <c r="E45" s="239">
        <v>1</v>
      </c>
      <c r="F45" s="239">
        <f>E45*F44</f>
        <v>1</v>
      </c>
      <c r="G45" s="239"/>
      <c r="H45" s="239"/>
      <c r="I45" s="239"/>
      <c r="J45" s="239">
        <f t="shared" ref="J45" si="28">I45*F45</f>
        <v>0</v>
      </c>
      <c r="K45" s="239"/>
      <c r="L45" s="239"/>
      <c r="M45" s="239">
        <f t="shared" ref="M45:M48" si="29">L45+J45+H45</f>
        <v>0</v>
      </c>
      <c r="N45" s="198"/>
      <c r="O45" s="198"/>
      <c r="P45" s="198"/>
      <c r="Q45" s="198"/>
      <c r="R45" s="198"/>
    </row>
    <row r="46" spans="1:18" ht="15">
      <c r="A46" s="237"/>
      <c r="B46" s="238"/>
      <c r="C46" s="239" t="s">
        <v>36</v>
      </c>
      <c r="D46" s="239" t="s">
        <v>25</v>
      </c>
      <c r="E46" s="239">
        <v>0.09</v>
      </c>
      <c r="F46" s="239">
        <f>E46*F44</f>
        <v>0.09</v>
      </c>
      <c r="G46" s="239"/>
      <c r="H46" s="239"/>
      <c r="I46" s="239"/>
      <c r="J46" s="239"/>
      <c r="K46" s="239"/>
      <c r="L46" s="240">
        <f t="shared" ref="L46" si="30">K46*F46</f>
        <v>0</v>
      </c>
      <c r="M46" s="240">
        <f t="shared" si="29"/>
        <v>0</v>
      </c>
      <c r="N46" s="198"/>
      <c r="O46" s="198"/>
      <c r="P46" s="198"/>
      <c r="Q46" s="198"/>
      <c r="R46" s="198"/>
    </row>
    <row r="47" spans="1:18" ht="15">
      <c r="A47" s="237"/>
      <c r="B47" s="238"/>
      <c r="C47" s="402" t="s">
        <v>741</v>
      </c>
      <c r="D47" s="239" t="s">
        <v>19</v>
      </c>
      <c r="E47" s="239">
        <v>1</v>
      </c>
      <c r="F47" s="239">
        <f>E47*F44</f>
        <v>1</v>
      </c>
      <c r="G47" s="240"/>
      <c r="H47" s="240">
        <f t="shared" ref="H47:H48" si="31">G47*F47</f>
        <v>0</v>
      </c>
      <c r="I47" s="239"/>
      <c r="J47" s="239"/>
      <c r="K47" s="239"/>
      <c r="L47" s="239"/>
      <c r="M47" s="240">
        <f t="shared" si="29"/>
        <v>0</v>
      </c>
      <c r="N47" s="198"/>
      <c r="O47" s="198"/>
      <c r="P47" s="198"/>
      <c r="Q47" s="198"/>
      <c r="R47" s="198"/>
    </row>
    <row r="48" spans="1:18" ht="15">
      <c r="A48" s="237"/>
      <c r="B48" s="238"/>
      <c r="C48" s="239" t="s">
        <v>21</v>
      </c>
      <c r="D48" s="239" t="s">
        <v>25</v>
      </c>
      <c r="E48" s="239">
        <v>0.68</v>
      </c>
      <c r="F48" s="239">
        <f>E48*F44</f>
        <v>0.68</v>
      </c>
      <c r="G48" s="239"/>
      <c r="H48" s="240">
        <f t="shared" si="31"/>
        <v>0</v>
      </c>
      <c r="I48" s="239"/>
      <c r="J48" s="239"/>
      <c r="K48" s="239"/>
      <c r="L48" s="239"/>
      <c r="M48" s="240">
        <f t="shared" si="29"/>
        <v>0</v>
      </c>
      <c r="N48" s="198"/>
      <c r="O48" s="198"/>
      <c r="P48" s="198"/>
      <c r="Q48" s="198"/>
      <c r="R48" s="198"/>
    </row>
    <row r="49" spans="1:18" ht="15">
      <c r="A49" s="237">
        <v>9</v>
      </c>
      <c r="B49" s="238" t="s">
        <v>866</v>
      </c>
      <c r="C49" s="403" t="s">
        <v>742</v>
      </c>
      <c r="D49" s="398" t="s">
        <v>19</v>
      </c>
      <c r="E49" s="396"/>
      <c r="F49" s="396">
        <v>2</v>
      </c>
      <c r="G49" s="239"/>
      <c r="H49" s="239"/>
      <c r="I49" s="396"/>
      <c r="J49" s="396"/>
      <c r="K49" s="239"/>
      <c r="L49" s="396"/>
      <c r="M49" s="396"/>
      <c r="N49" s="198"/>
      <c r="O49" s="198"/>
      <c r="P49" s="198"/>
      <c r="Q49" s="198"/>
      <c r="R49" s="198"/>
    </row>
    <row r="50" spans="1:18" ht="15">
      <c r="A50" s="237"/>
      <c r="B50" s="238"/>
      <c r="C50" s="239" t="s">
        <v>180</v>
      </c>
      <c r="D50" s="239" t="s">
        <v>99</v>
      </c>
      <c r="E50" s="239">
        <v>1</v>
      </c>
      <c r="F50" s="239">
        <f>E50*F49</f>
        <v>2</v>
      </c>
      <c r="G50" s="239"/>
      <c r="H50" s="239"/>
      <c r="I50" s="239"/>
      <c r="J50" s="239">
        <f t="shared" ref="J50" si="32">I50*F50</f>
        <v>0</v>
      </c>
      <c r="K50" s="239"/>
      <c r="L50" s="239"/>
      <c r="M50" s="239">
        <f t="shared" ref="M50:M53" si="33">L50+J50+H50</f>
        <v>0</v>
      </c>
      <c r="N50" s="198"/>
      <c r="O50" s="198"/>
      <c r="P50" s="198"/>
      <c r="Q50" s="198"/>
      <c r="R50" s="198"/>
    </row>
    <row r="51" spans="1:18" ht="15">
      <c r="A51" s="237"/>
      <c r="B51" s="238"/>
      <c r="C51" s="239" t="s">
        <v>36</v>
      </c>
      <c r="D51" s="239" t="s">
        <v>25</v>
      </c>
      <c r="E51" s="239">
        <v>0.68</v>
      </c>
      <c r="F51" s="239">
        <f>E51*F49</f>
        <v>1.36</v>
      </c>
      <c r="G51" s="239"/>
      <c r="H51" s="239"/>
      <c r="I51" s="239"/>
      <c r="J51" s="239"/>
      <c r="K51" s="239"/>
      <c r="L51" s="240">
        <f t="shared" ref="L51" si="34">K51*F51</f>
        <v>0</v>
      </c>
      <c r="M51" s="240">
        <f t="shared" si="33"/>
        <v>0</v>
      </c>
      <c r="N51" s="198"/>
      <c r="O51" s="198"/>
      <c r="P51" s="198"/>
      <c r="Q51" s="198"/>
      <c r="R51" s="198"/>
    </row>
    <row r="52" spans="1:18" ht="15">
      <c r="A52" s="237"/>
      <c r="B52" s="238"/>
      <c r="C52" s="239" t="s">
        <v>868</v>
      </c>
      <c r="D52" s="239" t="s">
        <v>19</v>
      </c>
      <c r="E52" s="239">
        <v>1</v>
      </c>
      <c r="F52" s="239">
        <f>E52*F49</f>
        <v>2</v>
      </c>
      <c r="G52" s="239"/>
      <c r="H52" s="239">
        <f t="shared" ref="H52:H53" si="35">G52*F52</f>
        <v>0</v>
      </c>
      <c r="I52" s="239"/>
      <c r="J52" s="239"/>
      <c r="K52" s="239"/>
      <c r="L52" s="239"/>
      <c r="M52" s="239">
        <f t="shared" si="33"/>
        <v>0</v>
      </c>
      <c r="N52" s="198"/>
      <c r="O52" s="198"/>
      <c r="P52" s="198"/>
      <c r="Q52" s="198"/>
      <c r="R52" s="198"/>
    </row>
    <row r="53" spans="1:18" ht="15">
      <c r="A53" s="237"/>
      <c r="B53" s="238"/>
      <c r="C53" s="239" t="s">
        <v>21</v>
      </c>
      <c r="D53" s="239" t="s">
        <v>25</v>
      </c>
      <c r="E53" s="239">
        <v>0.12</v>
      </c>
      <c r="F53" s="239">
        <f>E53*F49</f>
        <v>0.24</v>
      </c>
      <c r="G53" s="239"/>
      <c r="H53" s="240">
        <f t="shared" si="35"/>
        <v>0</v>
      </c>
      <c r="I53" s="239"/>
      <c r="J53" s="239"/>
      <c r="K53" s="239"/>
      <c r="L53" s="239"/>
      <c r="M53" s="240">
        <f t="shared" si="33"/>
        <v>0</v>
      </c>
      <c r="N53" s="198"/>
      <c r="O53" s="198"/>
      <c r="P53" s="198"/>
      <c r="Q53" s="198"/>
      <c r="R53" s="198"/>
    </row>
    <row r="54" spans="1:18" ht="15">
      <c r="A54" s="237">
        <v>10</v>
      </c>
      <c r="B54" s="238" t="s">
        <v>987</v>
      </c>
      <c r="C54" s="403" t="s">
        <v>743</v>
      </c>
      <c r="D54" s="237" t="s">
        <v>19</v>
      </c>
      <c r="E54" s="239"/>
      <c r="F54" s="239">
        <v>1</v>
      </c>
      <c r="G54" s="239"/>
      <c r="H54" s="239"/>
      <c r="I54" s="239"/>
      <c r="J54" s="239"/>
      <c r="K54" s="239"/>
      <c r="L54" s="239"/>
      <c r="M54" s="239"/>
      <c r="N54" s="198"/>
      <c r="O54" s="198"/>
      <c r="P54" s="198"/>
      <c r="Q54" s="198"/>
      <c r="R54" s="198"/>
    </row>
    <row r="55" spans="1:18" ht="15">
      <c r="A55" s="237"/>
      <c r="B55" s="238"/>
      <c r="C55" s="239" t="s">
        <v>180</v>
      </c>
      <c r="D55" s="239" t="s">
        <v>18</v>
      </c>
      <c r="E55" s="239">
        <v>1</v>
      </c>
      <c r="F55" s="239">
        <f>E55*F54</f>
        <v>1</v>
      </c>
      <c r="G55" s="239"/>
      <c r="H55" s="239"/>
      <c r="I55" s="239"/>
      <c r="J55" s="239">
        <f t="shared" ref="J55" si="36">I55*F55</f>
        <v>0</v>
      </c>
      <c r="K55" s="239"/>
      <c r="L55" s="239"/>
      <c r="M55" s="239">
        <f t="shared" ref="M55:M58" si="37">L55+J55+H55</f>
        <v>0</v>
      </c>
      <c r="N55" s="198"/>
      <c r="O55" s="198"/>
      <c r="P55" s="198"/>
      <c r="Q55" s="198"/>
      <c r="R55" s="198"/>
    </row>
    <row r="56" spans="1:18" ht="15">
      <c r="A56" s="237"/>
      <c r="B56" s="238"/>
      <c r="C56" s="239" t="s">
        <v>36</v>
      </c>
      <c r="D56" s="239" t="s">
        <v>25</v>
      </c>
      <c r="E56" s="239">
        <v>0.09</v>
      </c>
      <c r="F56" s="239">
        <f>E56*F54</f>
        <v>0.09</v>
      </c>
      <c r="G56" s="239"/>
      <c r="H56" s="239"/>
      <c r="I56" s="239"/>
      <c r="J56" s="239"/>
      <c r="K56" s="239"/>
      <c r="L56" s="240">
        <f t="shared" ref="L56" si="38">K56*F56</f>
        <v>0</v>
      </c>
      <c r="M56" s="240">
        <f t="shared" si="37"/>
        <v>0</v>
      </c>
      <c r="N56" s="198"/>
      <c r="O56" s="198"/>
      <c r="P56" s="198"/>
      <c r="Q56" s="198"/>
      <c r="R56" s="198"/>
    </row>
    <row r="57" spans="1:18" ht="15">
      <c r="A57" s="237"/>
      <c r="B57" s="238"/>
      <c r="C57" s="402" t="s">
        <v>743</v>
      </c>
      <c r="D57" s="239" t="s">
        <v>19</v>
      </c>
      <c r="E57" s="239">
        <v>1</v>
      </c>
      <c r="F57" s="239">
        <f>E57*F54</f>
        <v>1</v>
      </c>
      <c r="G57" s="240"/>
      <c r="H57" s="240">
        <f t="shared" ref="H57:H58" si="39">G57*F57</f>
        <v>0</v>
      </c>
      <c r="I57" s="239"/>
      <c r="J57" s="239"/>
      <c r="K57" s="239"/>
      <c r="L57" s="239"/>
      <c r="M57" s="240">
        <f t="shared" si="37"/>
        <v>0</v>
      </c>
      <c r="N57" s="198"/>
      <c r="O57" s="198"/>
      <c r="P57" s="198"/>
      <c r="Q57" s="198"/>
      <c r="R57" s="198"/>
    </row>
    <row r="58" spans="1:18" ht="15">
      <c r="A58" s="237"/>
      <c r="B58" s="238"/>
      <c r="C58" s="239" t="s">
        <v>21</v>
      </c>
      <c r="D58" s="239" t="s">
        <v>25</v>
      </c>
      <c r="E58" s="239">
        <v>0.68</v>
      </c>
      <c r="F58" s="239">
        <f>E58*F54</f>
        <v>0.68</v>
      </c>
      <c r="G58" s="239"/>
      <c r="H58" s="240">
        <f t="shared" si="39"/>
        <v>0</v>
      </c>
      <c r="I58" s="239"/>
      <c r="J58" s="239"/>
      <c r="K58" s="239"/>
      <c r="L58" s="239"/>
      <c r="M58" s="240">
        <f t="shared" si="37"/>
        <v>0</v>
      </c>
      <c r="N58" s="198"/>
      <c r="O58" s="198"/>
      <c r="P58" s="198"/>
      <c r="Q58" s="198"/>
      <c r="R58" s="198"/>
    </row>
    <row r="59" spans="1:18" ht="30">
      <c r="A59" s="237">
        <v>11</v>
      </c>
      <c r="B59" s="238" t="s">
        <v>243</v>
      </c>
      <c r="C59" s="403" t="s">
        <v>744</v>
      </c>
      <c r="D59" s="237" t="s">
        <v>19</v>
      </c>
      <c r="E59" s="239"/>
      <c r="F59" s="239">
        <v>8</v>
      </c>
      <c r="G59" s="239"/>
      <c r="H59" s="239"/>
      <c r="I59" s="239"/>
      <c r="J59" s="239"/>
      <c r="K59" s="239"/>
      <c r="L59" s="239"/>
      <c r="M59" s="239"/>
      <c r="N59" s="198"/>
      <c r="O59" s="198"/>
      <c r="P59" s="198"/>
      <c r="Q59" s="198"/>
      <c r="R59" s="198"/>
    </row>
    <row r="60" spans="1:18" ht="15">
      <c r="A60" s="237"/>
      <c r="B60" s="238"/>
      <c r="C60" s="239" t="s">
        <v>180</v>
      </c>
      <c r="D60" s="239" t="s">
        <v>18</v>
      </c>
      <c r="E60" s="239">
        <v>1</v>
      </c>
      <c r="F60" s="239">
        <f>E60*F59</f>
        <v>8</v>
      </c>
      <c r="G60" s="239"/>
      <c r="H60" s="239"/>
      <c r="I60" s="239"/>
      <c r="J60" s="239">
        <f t="shared" ref="J60" si="40">I60*F60</f>
        <v>0</v>
      </c>
      <c r="K60" s="239"/>
      <c r="L60" s="239"/>
      <c r="M60" s="239">
        <f t="shared" ref="M60:M63" si="41">L60+J60+H60</f>
        <v>0</v>
      </c>
      <c r="N60" s="198"/>
      <c r="O60" s="198"/>
      <c r="P60" s="198"/>
      <c r="Q60" s="198"/>
      <c r="R60" s="198"/>
    </row>
    <row r="61" spans="1:18" ht="15">
      <c r="A61" s="237"/>
      <c r="B61" s="238"/>
      <c r="C61" s="239" t="s">
        <v>36</v>
      </c>
      <c r="D61" s="239" t="s">
        <v>25</v>
      </c>
      <c r="E61" s="239">
        <v>0.51</v>
      </c>
      <c r="F61" s="239">
        <f>E61*F59</f>
        <v>4.08</v>
      </c>
      <c r="G61" s="239"/>
      <c r="H61" s="239"/>
      <c r="I61" s="239"/>
      <c r="J61" s="239"/>
      <c r="K61" s="239"/>
      <c r="L61" s="240">
        <f t="shared" ref="L61" si="42">K61*F61</f>
        <v>0</v>
      </c>
      <c r="M61" s="240">
        <f t="shared" si="41"/>
        <v>0</v>
      </c>
      <c r="N61" s="198"/>
      <c r="O61" s="198"/>
      <c r="P61" s="198"/>
      <c r="Q61" s="198"/>
      <c r="R61" s="198"/>
    </row>
    <row r="62" spans="1:18" ht="30">
      <c r="A62" s="237"/>
      <c r="B62" s="238"/>
      <c r="C62" s="402" t="s">
        <v>744</v>
      </c>
      <c r="D62" s="239" t="s">
        <v>19</v>
      </c>
      <c r="E62" s="239">
        <v>1</v>
      </c>
      <c r="F62" s="239">
        <f>E62*F59</f>
        <v>8</v>
      </c>
      <c r="G62" s="240"/>
      <c r="H62" s="240">
        <f t="shared" ref="H62:H63" si="43">G62*F62</f>
        <v>0</v>
      </c>
      <c r="I62" s="239"/>
      <c r="J62" s="239"/>
      <c r="K62" s="239"/>
      <c r="L62" s="239"/>
      <c r="M62" s="240">
        <f t="shared" si="41"/>
        <v>0</v>
      </c>
      <c r="N62" s="198"/>
      <c r="O62" s="198"/>
      <c r="P62" s="198"/>
      <c r="Q62" s="198"/>
      <c r="R62" s="198"/>
    </row>
    <row r="63" spans="1:18" ht="15">
      <c r="A63" s="237"/>
      <c r="B63" s="238"/>
      <c r="C63" s="239" t="s">
        <v>21</v>
      </c>
      <c r="D63" s="239" t="s">
        <v>25</v>
      </c>
      <c r="E63" s="239">
        <v>0.37</v>
      </c>
      <c r="F63" s="239">
        <f>E63*F59</f>
        <v>2.96</v>
      </c>
      <c r="G63" s="239"/>
      <c r="H63" s="240">
        <f t="shared" si="43"/>
        <v>0</v>
      </c>
      <c r="I63" s="239"/>
      <c r="J63" s="239"/>
      <c r="K63" s="239"/>
      <c r="L63" s="239"/>
      <c r="M63" s="240">
        <f t="shared" si="41"/>
        <v>0</v>
      </c>
      <c r="N63" s="198"/>
      <c r="O63" s="198"/>
      <c r="P63" s="198"/>
      <c r="Q63" s="198"/>
      <c r="R63" s="198"/>
    </row>
    <row r="64" spans="1:18" ht="45">
      <c r="A64" s="237">
        <v>11</v>
      </c>
      <c r="B64" s="238" t="s">
        <v>993</v>
      </c>
      <c r="C64" s="403" t="s">
        <v>745</v>
      </c>
      <c r="D64" s="237" t="s">
        <v>19</v>
      </c>
      <c r="E64" s="239"/>
      <c r="F64" s="239">
        <v>1</v>
      </c>
      <c r="G64" s="239"/>
      <c r="H64" s="239"/>
      <c r="I64" s="239"/>
      <c r="J64" s="239"/>
      <c r="K64" s="239"/>
      <c r="L64" s="239"/>
      <c r="M64" s="239"/>
      <c r="N64" s="198"/>
      <c r="O64" s="198"/>
      <c r="P64" s="198"/>
      <c r="Q64" s="198"/>
      <c r="R64" s="198"/>
    </row>
    <row r="65" spans="1:18" ht="15">
      <c r="A65" s="237"/>
      <c r="B65" s="238"/>
      <c r="C65" s="239" t="s">
        <v>180</v>
      </c>
      <c r="D65" s="239" t="s">
        <v>18</v>
      </c>
      <c r="E65" s="239">
        <v>1</v>
      </c>
      <c r="F65" s="239">
        <f>E65*F64</f>
        <v>1</v>
      </c>
      <c r="G65" s="239"/>
      <c r="H65" s="239"/>
      <c r="I65" s="239"/>
      <c r="J65" s="239">
        <f t="shared" ref="J65" si="44">I65*F65</f>
        <v>0</v>
      </c>
      <c r="K65" s="239"/>
      <c r="L65" s="239"/>
      <c r="M65" s="239">
        <f t="shared" ref="M65:M68" si="45">L65+J65+H65</f>
        <v>0</v>
      </c>
      <c r="N65" s="198"/>
      <c r="O65" s="198"/>
      <c r="P65" s="198"/>
      <c r="Q65" s="198"/>
      <c r="R65" s="198"/>
    </row>
    <row r="66" spans="1:18" ht="15">
      <c r="A66" s="237"/>
      <c r="B66" s="238"/>
      <c r="C66" s="239" t="s">
        <v>36</v>
      </c>
      <c r="D66" s="239" t="s">
        <v>25</v>
      </c>
      <c r="E66" s="239">
        <v>3.63</v>
      </c>
      <c r="F66" s="239">
        <f>E66*F64</f>
        <v>3.63</v>
      </c>
      <c r="G66" s="239"/>
      <c r="H66" s="239"/>
      <c r="I66" s="239"/>
      <c r="J66" s="239"/>
      <c r="K66" s="239"/>
      <c r="L66" s="240">
        <f t="shared" ref="L66" si="46">K66*F66</f>
        <v>0</v>
      </c>
      <c r="M66" s="240">
        <f t="shared" si="45"/>
        <v>0</v>
      </c>
      <c r="N66" s="198"/>
      <c r="O66" s="198"/>
      <c r="P66" s="198"/>
      <c r="Q66" s="198"/>
      <c r="R66" s="198"/>
    </row>
    <row r="67" spans="1:18" ht="30">
      <c r="A67" s="237"/>
      <c r="B67" s="238"/>
      <c r="C67" s="402" t="s">
        <v>745</v>
      </c>
      <c r="D67" s="239" t="s">
        <v>19</v>
      </c>
      <c r="E67" s="239">
        <v>1</v>
      </c>
      <c r="F67" s="239">
        <f>E67*F64</f>
        <v>1</v>
      </c>
      <c r="G67" s="240"/>
      <c r="H67" s="240">
        <f t="shared" ref="H67:H68" si="47">G67*F67</f>
        <v>0</v>
      </c>
      <c r="I67" s="239"/>
      <c r="J67" s="239"/>
      <c r="K67" s="239"/>
      <c r="L67" s="239"/>
      <c r="M67" s="240">
        <f t="shared" si="45"/>
        <v>0</v>
      </c>
      <c r="N67" s="198"/>
      <c r="O67" s="198"/>
      <c r="P67" s="198"/>
      <c r="Q67" s="198"/>
      <c r="R67" s="198"/>
    </row>
    <row r="68" spans="1:18" ht="15">
      <c r="A68" s="237"/>
      <c r="B68" s="238"/>
      <c r="C68" s="239" t="s">
        <v>21</v>
      </c>
      <c r="D68" s="239" t="s">
        <v>25</v>
      </c>
      <c r="E68" s="239">
        <v>0.04</v>
      </c>
      <c r="F68" s="239">
        <f>E68*F64</f>
        <v>0.04</v>
      </c>
      <c r="G68" s="239"/>
      <c r="H68" s="240">
        <f t="shared" si="47"/>
        <v>0</v>
      </c>
      <c r="I68" s="239"/>
      <c r="J68" s="239"/>
      <c r="K68" s="239"/>
      <c r="L68" s="239"/>
      <c r="M68" s="240">
        <f t="shared" si="45"/>
        <v>0</v>
      </c>
      <c r="N68" s="198"/>
      <c r="O68" s="198"/>
      <c r="P68" s="198"/>
      <c r="Q68" s="198"/>
      <c r="R68" s="198"/>
    </row>
    <row r="69" spans="1:18" ht="45">
      <c r="A69" s="237">
        <v>12</v>
      </c>
      <c r="B69" s="238" t="s">
        <v>296</v>
      </c>
      <c r="C69" s="403" t="s">
        <v>746</v>
      </c>
      <c r="D69" s="237" t="s">
        <v>99</v>
      </c>
      <c r="E69" s="239"/>
      <c r="F69" s="239">
        <v>20</v>
      </c>
      <c r="G69" s="239"/>
      <c r="H69" s="239"/>
      <c r="I69" s="239"/>
      <c r="J69" s="239"/>
      <c r="K69" s="239"/>
      <c r="L69" s="239"/>
      <c r="M69" s="239"/>
      <c r="N69" s="198"/>
      <c r="O69" s="198"/>
      <c r="P69" s="198"/>
      <c r="Q69" s="198"/>
      <c r="R69" s="198"/>
    </row>
    <row r="70" spans="1:18" ht="15">
      <c r="A70" s="237"/>
      <c r="B70" s="238"/>
      <c r="C70" s="239" t="s">
        <v>180</v>
      </c>
      <c r="D70" s="239" t="s">
        <v>18</v>
      </c>
      <c r="E70" s="239">
        <v>1</v>
      </c>
      <c r="F70" s="239">
        <f>E70*F69</f>
        <v>20</v>
      </c>
      <c r="G70" s="239"/>
      <c r="H70" s="239"/>
      <c r="I70" s="239"/>
      <c r="J70" s="239">
        <f t="shared" ref="J70" si="48">I70*F70</f>
        <v>0</v>
      </c>
      <c r="K70" s="239"/>
      <c r="L70" s="239"/>
      <c r="M70" s="239">
        <f t="shared" ref="M70:M77" si="49">L70+J70+H70</f>
        <v>0</v>
      </c>
      <c r="N70" s="198"/>
      <c r="O70" s="198"/>
      <c r="P70" s="198"/>
      <c r="Q70" s="198"/>
      <c r="R70" s="198"/>
    </row>
    <row r="71" spans="1:18" ht="15">
      <c r="A71" s="237"/>
      <c r="B71" s="238"/>
      <c r="C71" s="239" t="s">
        <v>36</v>
      </c>
      <c r="D71" s="239" t="s">
        <v>25</v>
      </c>
      <c r="E71" s="239">
        <v>0.05</v>
      </c>
      <c r="F71" s="239">
        <f>E71*F69</f>
        <v>1</v>
      </c>
      <c r="G71" s="239"/>
      <c r="H71" s="239"/>
      <c r="I71" s="239"/>
      <c r="J71" s="239"/>
      <c r="K71" s="239"/>
      <c r="L71" s="240">
        <f t="shared" ref="L71:L76" si="50">K71*F71</f>
        <v>0</v>
      </c>
      <c r="M71" s="240">
        <f t="shared" si="49"/>
        <v>0</v>
      </c>
      <c r="N71" s="198"/>
      <c r="O71" s="198"/>
      <c r="P71" s="198"/>
      <c r="Q71" s="198"/>
      <c r="R71" s="198"/>
    </row>
    <row r="72" spans="1:18" ht="15">
      <c r="A72" s="237"/>
      <c r="B72" s="238"/>
      <c r="C72" s="402" t="s">
        <v>994</v>
      </c>
      <c r="D72" s="239" t="s">
        <v>99</v>
      </c>
      <c r="E72" s="239">
        <v>1</v>
      </c>
      <c r="F72" s="239">
        <f>E72*F69</f>
        <v>20</v>
      </c>
      <c r="G72" s="240"/>
      <c r="H72" s="240">
        <f t="shared" ref="H72:H77" si="51">G72*F72</f>
        <v>0</v>
      </c>
      <c r="I72" s="239"/>
      <c r="J72" s="239"/>
      <c r="K72" s="239"/>
      <c r="L72" s="239"/>
      <c r="M72" s="240">
        <f t="shared" si="49"/>
        <v>0</v>
      </c>
      <c r="N72" s="198"/>
      <c r="O72" s="198"/>
      <c r="P72" s="198"/>
      <c r="Q72" s="198"/>
      <c r="R72" s="198"/>
    </row>
    <row r="73" spans="1:18" ht="15">
      <c r="A73" s="237"/>
      <c r="B73" s="238"/>
      <c r="C73" s="239" t="s">
        <v>995</v>
      </c>
      <c r="D73" s="239" t="s">
        <v>19</v>
      </c>
      <c r="E73" s="239">
        <v>7.0000000000000007E-2</v>
      </c>
      <c r="F73" s="239">
        <f>E73*F69</f>
        <v>1.4000000000000001</v>
      </c>
      <c r="G73" s="239"/>
      <c r="H73" s="240">
        <f t="shared" si="51"/>
        <v>0</v>
      </c>
      <c r="I73" s="239"/>
      <c r="J73" s="239">
        <f t="shared" ref="J73:J76" si="52">I73*F73</f>
        <v>0</v>
      </c>
      <c r="K73" s="239"/>
      <c r="L73" s="240">
        <f t="shared" si="50"/>
        <v>0</v>
      </c>
      <c r="M73" s="239">
        <f t="shared" ref="M73:M75" si="53">L73+J73+H73</f>
        <v>0</v>
      </c>
      <c r="N73" s="198"/>
      <c r="O73" s="198"/>
      <c r="P73" s="198"/>
      <c r="Q73" s="198"/>
      <c r="R73" s="198"/>
    </row>
    <row r="74" spans="1:18" ht="15">
      <c r="A74" s="237"/>
      <c r="B74" s="238"/>
      <c r="C74" s="239" t="s">
        <v>996</v>
      </c>
      <c r="D74" s="239" t="s">
        <v>19</v>
      </c>
      <c r="E74" s="239">
        <v>0.04</v>
      </c>
      <c r="F74" s="239">
        <f>E74*F69</f>
        <v>0.8</v>
      </c>
      <c r="G74" s="239"/>
      <c r="H74" s="240">
        <f t="shared" si="51"/>
        <v>0</v>
      </c>
      <c r="I74" s="239"/>
      <c r="J74" s="239">
        <f t="shared" si="52"/>
        <v>0</v>
      </c>
      <c r="K74" s="239"/>
      <c r="L74" s="240">
        <f t="shared" si="50"/>
        <v>0</v>
      </c>
      <c r="M74" s="240">
        <f t="shared" si="53"/>
        <v>0</v>
      </c>
      <c r="N74" s="198"/>
      <c r="O74" s="198"/>
      <c r="P74" s="198"/>
      <c r="Q74" s="198"/>
      <c r="R74" s="198"/>
    </row>
    <row r="75" spans="1:18" ht="15">
      <c r="A75" s="237"/>
      <c r="B75" s="238"/>
      <c r="C75" s="402" t="s">
        <v>997</v>
      </c>
      <c r="D75" s="239" t="s">
        <v>19</v>
      </c>
      <c r="E75" s="239">
        <v>0.1</v>
      </c>
      <c r="F75" s="239">
        <f>E75*F69</f>
        <v>2</v>
      </c>
      <c r="G75" s="240"/>
      <c r="H75" s="240">
        <f t="shared" ref="H75:H76" si="54">G75*F75</f>
        <v>0</v>
      </c>
      <c r="I75" s="239"/>
      <c r="J75" s="239">
        <f t="shared" si="52"/>
        <v>0</v>
      </c>
      <c r="K75" s="239"/>
      <c r="L75" s="240">
        <f t="shared" si="50"/>
        <v>0</v>
      </c>
      <c r="M75" s="240">
        <f t="shared" si="53"/>
        <v>0</v>
      </c>
      <c r="N75" s="198"/>
      <c r="O75" s="198"/>
      <c r="P75" s="198"/>
      <c r="Q75" s="198"/>
      <c r="R75" s="198"/>
    </row>
    <row r="76" spans="1:18" ht="15">
      <c r="A76" s="237"/>
      <c r="B76" s="238"/>
      <c r="C76" s="239" t="s">
        <v>998</v>
      </c>
      <c r="D76" s="239" t="s">
        <v>19</v>
      </c>
      <c r="E76" s="239">
        <v>0.1</v>
      </c>
      <c r="F76" s="239">
        <f>E76*F69</f>
        <v>2</v>
      </c>
      <c r="G76" s="239"/>
      <c r="H76" s="240">
        <f t="shared" si="54"/>
        <v>0</v>
      </c>
      <c r="I76" s="239"/>
      <c r="J76" s="239">
        <f t="shared" si="52"/>
        <v>0</v>
      </c>
      <c r="K76" s="239"/>
      <c r="L76" s="240">
        <f t="shared" si="50"/>
        <v>0</v>
      </c>
      <c r="M76" s="240">
        <f t="shared" ref="M76" si="55">L76+J76+H76</f>
        <v>0</v>
      </c>
      <c r="N76" s="198"/>
      <c r="O76" s="198"/>
      <c r="P76" s="198"/>
      <c r="Q76" s="198"/>
      <c r="R76" s="198"/>
    </row>
    <row r="77" spans="1:18" ht="15">
      <c r="A77" s="237"/>
      <c r="B77" s="238"/>
      <c r="C77" s="239" t="s">
        <v>21</v>
      </c>
      <c r="D77" s="239" t="s">
        <v>25</v>
      </c>
      <c r="E77" s="239">
        <v>4.2500000000000003E-2</v>
      </c>
      <c r="F77" s="239">
        <f>E77*F69</f>
        <v>0.85000000000000009</v>
      </c>
      <c r="G77" s="239"/>
      <c r="H77" s="240">
        <f t="shared" si="51"/>
        <v>0</v>
      </c>
      <c r="I77" s="239"/>
      <c r="J77" s="239"/>
      <c r="K77" s="239"/>
      <c r="L77" s="239"/>
      <c r="M77" s="240">
        <f t="shared" si="49"/>
        <v>0</v>
      </c>
      <c r="N77" s="198"/>
      <c r="O77" s="198"/>
      <c r="P77" s="198"/>
      <c r="Q77" s="198"/>
      <c r="R77" s="198"/>
    </row>
    <row r="78" spans="1:18" ht="45">
      <c r="A78" s="237">
        <v>12</v>
      </c>
      <c r="B78" s="238" t="s">
        <v>306</v>
      </c>
      <c r="C78" s="403" t="s">
        <v>747</v>
      </c>
      <c r="D78" s="237" t="s">
        <v>99</v>
      </c>
      <c r="E78" s="239"/>
      <c r="F78" s="239">
        <v>100</v>
      </c>
      <c r="G78" s="239"/>
      <c r="H78" s="239"/>
      <c r="I78" s="239"/>
      <c r="J78" s="239"/>
      <c r="K78" s="239"/>
      <c r="L78" s="239"/>
      <c r="M78" s="239"/>
      <c r="N78" s="198"/>
      <c r="O78" s="198"/>
      <c r="P78" s="198"/>
      <c r="Q78" s="198"/>
      <c r="R78" s="198"/>
    </row>
    <row r="79" spans="1:18" ht="15">
      <c r="A79" s="237"/>
      <c r="B79" s="238"/>
      <c r="C79" s="239" t="s">
        <v>180</v>
      </c>
      <c r="D79" s="239" t="s">
        <v>18</v>
      </c>
      <c r="E79" s="239">
        <v>1</v>
      </c>
      <c r="F79" s="239">
        <f>E79*F78</f>
        <v>100</v>
      </c>
      <c r="G79" s="239"/>
      <c r="H79" s="239"/>
      <c r="I79" s="239"/>
      <c r="J79" s="239">
        <f t="shared" ref="J79" si="56">I79*F79</f>
        <v>0</v>
      </c>
      <c r="K79" s="239"/>
      <c r="L79" s="239"/>
      <c r="M79" s="239">
        <f t="shared" ref="M79:M86" si="57">L79+J79+H79</f>
        <v>0</v>
      </c>
      <c r="N79" s="198"/>
      <c r="O79" s="198"/>
      <c r="P79" s="198"/>
      <c r="Q79" s="198"/>
      <c r="R79" s="198"/>
    </row>
    <row r="80" spans="1:18" ht="15">
      <c r="A80" s="237"/>
      <c r="B80" s="238"/>
      <c r="C80" s="239" t="s">
        <v>36</v>
      </c>
      <c r="D80" s="239" t="s">
        <v>25</v>
      </c>
      <c r="E80" s="239">
        <v>0.31</v>
      </c>
      <c r="F80" s="239">
        <f>E80*F78</f>
        <v>31</v>
      </c>
      <c r="G80" s="239"/>
      <c r="H80" s="239"/>
      <c r="I80" s="239"/>
      <c r="J80" s="239"/>
      <c r="K80" s="239"/>
      <c r="L80" s="240">
        <f t="shared" ref="L80" si="58">K80*F80</f>
        <v>0</v>
      </c>
      <c r="M80" s="240">
        <f t="shared" si="57"/>
        <v>0</v>
      </c>
      <c r="N80" s="198"/>
      <c r="O80" s="198"/>
      <c r="P80" s="198"/>
      <c r="Q80" s="198"/>
      <c r="R80" s="198"/>
    </row>
    <row r="81" spans="1:18" ht="15">
      <c r="A81" s="237"/>
      <c r="B81" s="238"/>
      <c r="C81" s="402" t="s">
        <v>994</v>
      </c>
      <c r="D81" s="239" t="s">
        <v>99</v>
      </c>
      <c r="E81" s="239">
        <v>1</v>
      </c>
      <c r="F81" s="239">
        <f>E81*F78</f>
        <v>100</v>
      </c>
      <c r="G81" s="240"/>
      <c r="H81" s="240">
        <f t="shared" ref="H81:H86" si="59">G81*F81</f>
        <v>0</v>
      </c>
      <c r="I81" s="239"/>
      <c r="J81" s="239"/>
      <c r="K81" s="239"/>
      <c r="L81" s="239"/>
      <c r="M81" s="240">
        <f t="shared" si="57"/>
        <v>0</v>
      </c>
      <c r="N81" s="198"/>
      <c r="O81" s="198"/>
      <c r="P81" s="198"/>
      <c r="Q81" s="198"/>
      <c r="R81" s="198"/>
    </row>
    <row r="82" spans="1:18" ht="15">
      <c r="A82" s="237"/>
      <c r="B82" s="238"/>
      <c r="C82" s="239" t="s">
        <v>995</v>
      </c>
      <c r="D82" s="239" t="s">
        <v>19</v>
      </c>
      <c r="E82" s="239">
        <v>7.0000000000000007E-2</v>
      </c>
      <c r="F82" s="239">
        <f>E82*F78</f>
        <v>7.0000000000000009</v>
      </c>
      <c r="G82" s="239"/>
      <c r="H82" s="240">
        <f t="shared" si="59"/>
        <v>0</v>
      </c>
      <c r="I82" s="239"/>
      <c r="J82" s="239">
        <f t="shared" ref="J82:J85" si="60">I82*F82</f>
        <v>0</v>
      </c>
      <c r="K82" s="239"/>
      <c r="L82" s="240">
        <f t="shared" ref="L82:L85" si="61">K82*F82</f>
        <v>0</v>
      </c>
      <c r="M82" s="239">
        <f t="shared" si="57"/>
        <v>0</v>
      </c>
      <c r="N82" s="198"/>
      <c r="O82" s="198"/>
      <c r="P82" s="198"/>
      <c r="Q82" s="198"/>
      <c r="R82" s="198"/>
    </row>
    <row r="83" spans="1:18" ht="15">
      <c r="A83" s="237"/>
      <c r="B83" s="238"/>
      <c r="C83" s="239" t="s">
        <v>996</v>
      </c>
      <c r="D83" s="239" t="s">
        <v>19</v>
      </c>
      <c r="E83" s="239">
        <v>0.04</v>
      </c>
      <c r="F83" s="239">
        <f>E83*F78</f>
        <v>4</v>
      </c>
      <c r="G83" s="239"/>
      <c r="H83" s="240">
        <f t="shared" si="59"/>
        <v>0</v>
      </c>
      <c r="I83" s="239"/>
      <c r="J83" s="239">
        <f t="shared" si="60"/>
        <v>0</v>
      </c>
      <c r="K83" s="239"/>
      <c r="L83" s="240">
        <f t="shared" si="61"/>
        <v>0</v>
      </c>
      <c r="M83" s="240">
        <f t="shared" si="57"/>
        <v>0</v>
      </c>
      <c r="N83" s="198"/>
      <c r="O83" s="198"/>
      <c r="P83" s="198"/>
      <c r="Q83" s="198"/>
      <c r="R83" s="198"/>
    </row>
    <row r="84" spans="1:18" ht="15">
      <c r="A84" s="237"/>
      <c r="B84" s="238"/>
      <c r="C84" s="402" t="s">
        <v>997</v>
      </c>
      <c r="D84" s="239" t="s">
        <v>19</v>
      </c>
      <c r="E84" s="239">
        <v>0.1</v>
      </c>
      <c r="F84" s="239">
        <f>E84*F78</f>
        <v>10</v>
      </c>
      <c r="G84" s="240"/>
      <c r="H84" s="240">
        <f t="shared" si="59"/>
        <v>0</v>
      </c>
      <c r="I84" s="239"/>
      <c r="J84" s="239">
        <f t="shared" si="60"/>
        <v>0</v>
      </c>
      <c r="K84" s="239"/>
      <c r="L84" s="240">
        <f t="shared" si="61"/>
        <v>0</v>
      </c>
      <c r="M84" s="240">
        <f t="shared" si="57"/>
        <v>0</v>
      </c>
      <c r="N84" s="198"/>
      <c r="O84" s="198"/>
      <c r="P84" s="198"/>
      <c r="Q84" s="198"/>
      <c r="R84" s="198"/>
    </row>
    <row r="85" spans="1:18" ht="15">
      <c r="A85" s="237"/>
      <c r="B85" s="238"/>
      <c r="C85" s="239" t="s">
        <v>998</v>
      </c>
      <c r="D85" s="239" t="s">
        <v>19</v>
      </c>
      <c r="E85" s="239">
        <v>0.1</v>
      </c>
      <c r="F85" s="239">
        <f>E85*F78</f>
        <v>10</v>
      </c>
      <c r="G85" s="239"/>
      <c r="H85" s="240">
        <f t="shared" si="59"/>
        <v>0</v>
      </c>
      <c r="I85" s="239"/>
      <c r="J85" s="239">
        <f t="shared" si="60"/>
        <v>0</v>
      </c>
      <c r="K85" s="239"/>
      <c r="L85" s="240">
        <f t="shared" si="61"/>
        <v>0</v>
      </c>
      <c r="M85" s="240">
        <f t="shared" si="57"/>
        <v>0</v>
      </c>
      <c r="N85" s="198"/>
      <c r="O85" s="198"/>
      <c r="P85" s="198"/>
      <c r="Q85" s="198"/>
      <c r="R85" s="198"/>
    </row>
    <row r="86" spans="1:18" ht="15">
      <c r="A86" s="237"/>
      <c r="B86" s="238"/>
      <c r="C86" s="239" t="s">
        <v>21</v>
      </c>
      <c r="D86" s="239" t="s">
        <v>25</v>
      </c>
      <c r="E86" s="239">
        <v>6.5199999999999994E-2</v>
      </c>
      <c r="F86" s="239">
        <f>E86*F78</f>
        <v>6.52</v>
      </c>
      <c r="G86" s="239"/>
      <c r="H86" s="240">
        <f t="shared" si="59"/>
        <v>0</v>
      </c>
      <c r="I86" s="239"/>
      <c r="J86" s="239"/>
      <c r="K86" s="239"/>
      <c r="L86" s="239"/>
      <c r="M86" s="240">
        <f t="shared" si="57"/>
        <v>0</v>
      </c>
      <c r="N86" s="198"/>
      <c r="O86" s="198"/>
      <c r="P86" s="198"/>
      <c r="Q86" s="198"/>
      <c r="R86" s="198"/>
    </row>
    <row r="87" spans="1:18" ht="45">
      <c r="A87" s="237">
        <v>12</v>
      </c>
      <c r="B87" s="238" t="s">
        <v>313</v>
      </c>
      <c r="C87" s="403" t="s">
        <v>748</v>
      </c>
      <c r="D87" s="237" t="s">
        <v>99</v>
      </c>
      <c r="E87" s="239"/>
      <c r="F87" s="239">
        <v>17</v>
      </c>
      <c r="G87" s="239"/>
      <c r="H87" s="239"/>
      <c r="I87" s="239"/>
      <c r="J87" s="239"/>
      <c r="K87" s="239"/>
      <c r="L87" s="239"/>
      <c r="M87" s="239"/>
      <c r="N87" s="198"/>
      <c r="O87" s="198"/>
      <c r="P87" s="198"/>
      <c r="Q87" s="198"/>
      <c r="R87" s="198"/>
    </row>
    <row r="88" spans="1:18" ht="15">
      <c r="A88" s="237"/>
      <c r="B88" s="238"/>
      <c r="C88" s="239" t="s">
        <v>180</v>
      </c>
      <c r="D88" s="239" t="s">
        <v>18</v>
      </c>
      <c r="E88" s="239">
        <v>1</v>
      </c>
      <c r="F88" s="239">
        <f>E88*F87</f>
        <v>17</v>
      </c>
      <c r="G88" s="239"/>
      <c r="H88" s="239"/>
      <c r="I88" s="239"/>
      <c r="J88" s="239">
        <f t="shared" ref="J88" si="62">I88*F88</f>
        <v>0</v>
      </c>
      <c r="K88" s="239"/>
      <c r="L88" s="239"/>
      <c r="M88" s="239">
        <f t="shared" ref="M88:M95" si="63">L88+J88+H88</f>
        <v>0</v>
      </c>
      <c r="N88" s="198"/>
      <c r="O88" s="198"/>
      <c r="P88" s="198"/>
      <c r="Q88" s="198"/>
      <c r="R88" s="198"/>
    </row>
    <row r="89" spans="1:18" ht="15">
      <c r="A89" s="237"/>
      <c r="B89" s="238"/>
      <c r="C89" s="239" t="s">
        <v>36</v>
      </c>
      <c r="D89" s="239" t="s">
        <v>25</v>
      </c>
      <c r="E89" s="239">
        <v>0.02</v>
      </c>
      <c r="F89" s="239">
        <f>E89*F87</f>
        <v>0.34</v>
      </c>
      <c r="G89" s="239"/>
      <c r="H89" s="239"/>
      <c r="I89" s="239"/>
      <c r="J89" s="239"/>
      <c r="K89" s="239"/>
      <c r="L89" s="240">
        <f t="shared" ref="L89" si="64">K89*F89</f>
        <v>0</v>
      </c>
      <c r="M89" s="240">
        <f t="shared" si="63"/>
        <v>0</v>
      </c>
      <c r="N89" s="198"/>
      <c r="O89" s="198"/>
      <c r="P89" s="198"/>
      <c r="Q89" s="198"/>
      <c r="R89" s="198"/>
    </row>
    <row r="90" spans="1:18" ht="15">
      <c r="A90" s="237"/>
      <c r="B90" s="238"/>
      <c r="C90" s="402" t="s">
        <v>994</v>
      </c>
      <c r="D90" s="239" t="s">
        <v>99</v>
      </c>
      <c r="E90" s="239">
        <v>1</v>
      </c>
      <c r="F90" s="239">
        <f>E90*F87</f>
        <v>17</v>
      </c>
      <c r="G90" s="240"/>
      <c r="H90" s="240">
        <f t="shared" ref="H90:H95" si="65">G90*F90</f>
        <v>0</v>
      </c>
      <c r="I90" s="239"/>
      <c r="J90" s="239"/>
      <c r="K90" s="239"/>
      <c r="L90" s="239"/>
      <c r="M90" s="240">
        <f t="shared" si="63"/>
        <v>0</v>
      </c>
      <c r="N90" s="198"/>
      <c r="O90" s="198"/>
      <c r="P90" s="198"/>
      <c r="Q90" s="198"/>
      <c r="R90" s="198"/>
    </row>
    <row r="91" spans="1:18" ht="15">
      <c r="A91" s="237"/>
      <c r="B91" s="238"/>
      <c r="C91" s="239" t="s">
        <v>995</v>
      </c>
      <c r="D91" s="239" t="s">
        <v>19</v>
      </c>
      <c r="E91" s="239">
        <v>7.0000000000000007E-2</v>
      </c>
      <c r="F91" s="239">
        <f>E91*F87</f>
        <v>1.1900000000000002</v>
      </c>
      <c r="G91" s="239"/>
      <c r="H91" s="240">
        <f t="shared" si="65"/>
        <v>0</v>
      </c>
      <c r="I91" s="239"/>
      <c r="J91" s="239">
        <f t="shared" ref="J91:J94" si="66">I91*F91</f>
        <v>0</v>
      </c>
      <c r="K91" s="239"/>
      <c r="L91" s="240">
        <f t="shared" ref="L91:L94" si="67">K91*F91</f>
        <v>0</v>
      </c>
      <c r="M91" s="239">
        <f t="shared" si="63"/>
        <v>0</v>
      </c>
      <c r="N91" s="198"/>
      <c r="O91" s="198"/>
      <c r="P91" s="198"/>
      <c r="Q91" s="198"/>
      <c r="R91" s="198"/>
    </row>
    <row r="92" spans="1:18" ht="15">
      <c r="A92" s="237"/>
      <c r="B92" s="238"/>
      <c r="C92" s="239" t="s">
        <v>996</v>
      </c>
      <c r="D92" s="239" t="s">
        <v>19</v>
      </c>
      <c r="E92" s="239">
        <v>0.04</v>
      </c>
      <c r="F92" s="239">
        <f>E92*F87</f>
        <v>0.68</v>
      </c>
      <c r="G92" s="239"/>
      <c r="H92" s="240">
        <f t="shared" si="65"/>
        <v>0</v>
      </c>
      <c r="I92" s="239"/>
      <c r="J92" s="239">
        <f t="shared" si="66"/>
        <v>0</v>
      </c>
      <c r="K92" s="239"/>
      <c r="L92" s="240">
        <f t="shared" si="67"/>
        <v>0</v>
      </c>
      <c r="M92" s="240">
        <f t="shared" si="63"/>
        <v>0</v>
      </c>
      <c r="N92" s="198"/>
      <c r="O92" s="198"/>
      <c r="P92" s="198"/>
      <c r="Q92" s="198"/>
      <c r="R92" s="198"/>
    </row>
    <row r="93" spans="1:18" ht="15">
      <c r="A93" s="237"/>
      <c r="B93" s="238"/>
      <c r="C93" s="402" t="s">
        <v>997</v>
      </c>
      <c r="D93" s="239" t="s">
        <v>19</v>
      </c>
      <c r="E93" s="239">
        <v>0.1</v>
      </c>
      <c r="F93" s="239">
        <f>E93*F87</f>
        <v>1.7000000000000002</v>
      </c>
      <c r="G93" s="240"/>
      <c r="H93" s="240">
        <f t="shared" si="65"/>
        <v>0</v>
      </c>
      <c r="I93" s="239"/>
      <c r="J93" s="239">
        <f t="shared" si="66"/>
        <v>0</v>
      </c>
      <c r="K93" s="239"/>
      <c r="L93" s="240">
        <f t="shared" si="67"/>
        <v>0</v>
      </c>
      <c r="M93" s="240">
        <f t="shared" si="63"/>
        <v>0</v>
      </c>
      <c r="N93" s="198"/>
      <c r="O93" s="198"/>
      <c r="P93" s="198"/>
      <c r="Q93" s="198"/>
      <c r="R93" s="198"/>
    </row>
    <row r="94" spans="1:18" ht="15">
      <c r="A94" s="237"/>
      <c r="B94" s="238"/>
      <c r="C94" s="239" t="s">
        <v>998</v>
      </c>
      <c r="D94" s="239" t="s">
        <v>19</v>
      </c>
      <c r="E94" s="239">
        <v>0.1</v>
      </c>
      <c r="F94" s="239">
        <f>E94*F87</f>
        <v>1.7000000000000002</v>
      </c>
      <c r="G94" s="239"/>
      <c r="H94" s="240">
        <f t="shared" si="65"/>
        <v>0</v>
      </c>
      <c r="I94" s="239"/>
      <c r="J94" s="239">
        <f t="shared" si="66"/>
        <v>0</v>
      </c>
      <c r="K94" s="239"/>
      <c r="L94" s="240">
        <f t="shared" si="67"/>
        <v>0</v>
      </c>
      <c r="M94" s="240">
        <f t="shared" si="63"/>
        <v>0</v>
      </c>
      <c r="N94" s="198"/>
      <c r="O94" s="198"/>
      <c r="P94" s="198"/>
      <c r="Q94" s="198"/>
      <c r="R94" s="198"/>
    </row>
    <row r="95" spans="1:18" ht="15">
      <c r="A95" s="237"/>
      <c r="B95" s="238"/>
      <c r="C95" s="239" t="s">
        <v>21</v>
      </c>
      <c r="D95" s="239" t="s">
        <v>25</v>
      </c>
      <c r="E95" s="239">
        <v>7.0800000000000002E-2</v>
      </c>
      <c r="F95" s="239">
        <f>E95*F87</f>
        <v>1.2036</v>
      </c>
      <c r="G95" s="239"/>
      <c r="H95" s="240">
        <f t="shared" si="65"/>
        <v>0</v>
      </c>
      <c r="I95" s="239"/>
      <c r="J95" s="239"/>
      <c r="K95" s="239"/>
      <c r="L95" s="239"/>
      <c r="M95" s="240">
        <f t="shared" si="63"/>
        <v>0</v>
      </c>
      <c r="N95" s="198"/>
      <c r="O95" s="198"/>
      <c r="P95" s="198"/>
      <c r="Q95" s="198"/>
      <c r="R95" s="198"/>
    </row>
    <row r="96" spans="1:18" ht="45">
      <c r="A96" s="237">
        <v>13</v>
      </c>
      <c r="B96" s="238" t="s">
        <v>843</v>
      </c>
      <c r="C96" s="403" t="s">
        <v>999</v>
      </c>
      <c r="D96" s="237" t="s">
        <v>99</v>
      </c>
      <c r="E96" s="239"/>
      <c r="F96" s="239">
        <v>650</v>
      </c>
      <c r="G96" s="239"/>
      <c r="H96" s="239"/>
      <c r="I96" s="239"/>
      <c r="J96" s="239"/>
      <c r="K96" s="239"/>
      <c r="L96" s="239"/>
      <c r="M96" s="239"/>
      <c r="N96" s="198"/>
      <c r="O96" s="198"/>
      <c r="P96" s="198"/>
      <c r="Q96" s="198"/>
      <c r="R96" s="198"/>
    </row>
    <row r="97" spans="1:18" ht="15">
      <c r="A97" s="237"/>
      <c r="B97" s="238"/>
      <c r="C97" s="239" t="s">
        <v>180</v>
      </c>
      <c r="D97" s="239" t="s">
        <v>99</v>
      </c>
      <c r="E97" s="239">
        <v>1</v>
      </c>
      <c r="F97" s="239">
        <f>E97*F96</f>
        <v>650</v>
      </c>
      <c r="G97" s="240"/>
      <c r="H97" s="240"/>
      <c r="I97" s="240"/>
      <c r="J97" s="240">
        <f t="shared" ref="J97" si="68">I97*F97</f>
        <v>0</v>
      </c>
      <c r="K97" s="240"/>
      <c r="L97" s="240"/>
      <c r="M97" s="240">
        <f t="shared" ref="M97:M100" si="69">L97+J97+H97</f>
        <v>0</v>
      </c>
      <c r="N97" s="198"/>
      <c r="O97" s="198"/>
      <c r="P97" s="198"/>
      <c r="Q97" s="198"/>
      <c r="R97" s="198"/>
    </row>
    <row r="98" spans="1:18" ht="15">
      <c r="A98" s="237"/>
      <c r="B98" s="238"/>
      <c r="C98" s="239" t="s">
        <v>36</v>
      </c>
      <c r="D98" s="239" t="s">
        <v>25</v>
      </c>
      <c r="E98" s="239">
        <v>4.5999999999999999E-2</v>
      </c>
      <c r="F98" s="239">
        <f>E98*F96</f>
        <v>29.9</v>
      </c>
      <c r="G98" s="240"/>
      <c r="H98" s="240"/>
      <c r="I98" s="240"/>
      <c r="J98" s="240"/>
      <c r="K98" s="240"/>
      <c r="L98" s="240">
        <f t="shared" ref="L98" si="70">K98*F98</f>
        <v>0</v>
      </c>
      <c r="M98" s="240">
        <f t="shared" si="69"/>
        <v>0</v>
      </c>
      <c r="N98" s="198"/>
      <c r="O98" s="198"/>
      <c r="P98" s="198"/>
      <c r="Q98" s="198"/>
      <c r="R98" s="198"/>
    </row>
    <row r="99" spans="1:18" ht="15">
      <c r="A99" s="237"/>
      <c r="B99" s="238"/>
      <c r="C99" s="239" t="s">
        <v>1000</v>
      </c>
      <c r="D99" s="239" t="s">
        <v>99</v>
      </c>
      <c r="E99" s="239">
        <v>1</v>
      </c>
      <c r="F99" s="239">
        <f>E99*F96</f>
        <v>650</v>
      </c>
      <c r="G99" s="240"/>
      <c r="H99" s="240">
        <f t="shared" ref="H99:H100" si="71">G99*F99</f>
        <v>0</v>
      </c>
      <c r="I99" s="240"/>
      <c r="J99" s="240"/>
      <c r="K99" s="240"/>
      <c r="L99" s="240"/>
      <c r="M99" s="240">
        <f t="shared" si="69"/>
        <v>0</v>
      </c>
      <c r="N99" s="198"/>
      <c r="O99" s="198"/>
      <c r="P99" s="198"/>
      <c r="Q99" s="198"/>
      <c r="R99" s="198"/>
    </row>
    <row r="100" spans="1:18" ht="15">
      <c r="A100" s="237"/>
      <c r="B100" s="238"/>
      <c r="C100" s="239" t="s">
        <v>21</v>
      </c>
      <c r="D100" s="239" t="s">
        <v>25</v>
      </c>
      <c r="E100" s="239">
        <v>2.8000000000000001E-2</v>
      </c>
      <c r="F100" s="239">
        <f>E100*F96</f>
        <v>18.2</v>
      </c>
      <c r="G100" s="239"/>
      <c r="H100" s="240">
        <f t="shared" si="71"/>
        <v>0</v>
      </c>
      <c r="I100" s="239"/>
      <c r="J100" s="239"/>
      <c r="K100" s="239"/>
      <c r="L100" s="239"/>
      <c r="M100" s="240">
        <f t="shared" si="69"/>
        <v>0</v>
      </c>
      <c r="N100" s="198"/>
      <c r="O100" s="198"/>
      <c r="P100" s="198"/>
      <c r="Q100" s="198"/>
      <c r="R100" s="198"/>
    </row>
    <row r="101" spans="1:18" customFormat="1" ht="15.6" customHeight="1">
      <c r="A101" s="389"/>
      <c r="B101" s="390"/>
      <c r="C101" s="239" t="s">
        <v>21</v>
      </c>
      <c r="D101" s="385" t="s">
        <v>25</v>
      </c>
      <c r="E101" s="387">
        <f>2.8/100</f>
        <v>2.7999999999999997E-2</v>
      </c>
      <c r="F101" s="387">
        <f>E101*F96</f>
        <v>18.2</v>
      </c>
      <c r="G101" s="391"/>
      <c r="H101" s="391">
        <f>G101*F101</f>
        <v>0</v>
      </c>
      <c r="I101" s="385"/>
      <c r="J101" s="387"/>
      <c r="K101" s="392"/>
      <c r="L101" s="387"/>
      <c r="M101" s="387">
        <f>H101+J101+L101</f>
        <v>0</v>
      </c>
    </row>
    <row r="102" spans="1:18" ht="45">
      <c r="A102" s="237">
        <v>14</v>
      </c>
      <c r="B102" s="238" t="s">
        <v>843</v>
      </c>
      <c r="C102" s="403" t="s">
        <v>1002</v>
      </c>
      <c r="D102" s="237" t="s">
        <v>99</v>
      </c>
      <c r="E102" s="239"/>
      <c r="F102" s="239">
        <v>50</v>
      </c>
      <c r="G102" s="239"/>
      <c r="H102" s="239"/>
      <c r="I102" s="239"/>
      <c r="J102" s="239"/>
      <c r="K102" s="239"/>
      <c r="L102" s="239"/>
      <c r="M102" s="239"/>
      <c r="N102" s="198"/>
      <c r="O102" s="198"/>
      <c r="P102" s="198"/>
      <c r="Q102" s="198"/>
      <c r="R102" s="198"/>
    </row>
    <row r="103" spans="1:18" ht="15">
      <c r="A103" s="237"/>
      <c r="B103" s="238"/>
      <c r="C103" s="239" t="s">
        <v>180</v>
      </c>
      <c r="D103" s="239" t="s">
        <v>99</v>
      </c>
      <c r="E103" s="239">
        <v>1</v>
      </c>
      <c r="F103" s="239">
        <f>E103*F102</f>
        <v>50</v>
      </c>
      <c r="G103" s="240"/>
      <c r="H103" s="240"/>
      <c r="I103" s="240"/>
      <c r="J103" s="240">
        <f t="shared" ref="J103" si="72">I103*F103</f>
        <v>0</v>
      </c>
      <c r="K103" s="240"/>
      <c r="L103" s="240"/>
      <c r="M103" s="240">
        <f t="shared" ref="M103:M106" si="73">L103+J103+H103</f>
        <v>0</v>
      </c>
      <c r="N103" s="198"/>
      <c r="O103" s="198"/>
      <c r="P103" s="198"/>
      <c r="Q103" s="198"/>
      <c r="R103" s="198"/>
    </row>
    <row r="104" spans="1:18" ht="15">
      <c r="A104" s="237"/>
      <c r="B104" s="238"/>
      <c r="C104" s="239" t="s">
        <v>36</v>
      </c>
      <c r="D104" s="239" t="s">
        <v>25</v>
      </c>
      <c r="E104" s="239">
        <v>4.5999999999999999E-2</v>
      </c>
      <c r="F104" s="239">
        <f>E104*F102</f>
        <v>2.2999999999999998</v>
      </c>
      <c r="G104" s="240"/>
      <c r="H104" s="240"/>
      <c r="I104" s="240"/>
      <c r="J104" s="240"/>
      <c r="K104" s="240"/>
      <c r="L104" s="240">
        <f t="shared" ref="L104" si="74">K104*F104</f>
        <v>0</v>
      </c>
      <c r="M104" s="240">
        <f t="shared" si="73"/>
        <v>0</v>
      </c>
      <c r="N104" s="198"/>
      <c r="O104" s="198"/>
      <c r="P104" s="198"/>
      <c r="Q104" s="198"/>
      <c r="R104" s="198"/>
    </row>
    <row r="105" spans="1:18" ht="15">
      <c r="A105" s="237"/>
      <c r="B105" s="238"/>
      <c r="C105" s="239" t="s">
        <v>1001</v>
      </c>
      <c r="D105" s="239" t="s">
        <v>99</v>
      </c>
      <c r="E105" s="239">
        <v>1</v>
      </c>
      <c r="F105" s="239">
        <f>E105*F102</f>
        <v>50</v>
      </c>
      <c r="G105" s="240"/>
      <c r="H105" s="240">
        <f t="shared" ref="H105:H106" si="75">G105*F105</f>
        <v>0</v>
      </c>
      <c r="I105" s="240"/>
      <c r="J105" s="240"/>
      <c r="K105" s="240"/>
      <c r="L105" s="240"/>
      <c r="M105" s="240">
        <f t="shared" si="73"/>
        <v>0</v>
      </c>
      <c r="N105" s="198"/>
      <c r="O105" s="198"/>
      <c r="P105" s="198"/>
      <c r="Q105" s="198"/>
      <c r="R105" s="198"/>
    </row>
    <row r="106" spans="1:18" ht="15">
      <c r="A106" s="237"/>
      <c r="B106" s="238"/>
      <c r="C106" s="239" t="s">
        <v>21</v>
      </c>
      <c r="D106" s="239" t="s">
        <v>25</v>
      </c>
      <c r="E106" s="239">
        <v>2.8000000000000001E-2</v>
      </c>
      <c r="F106" s="239">
        <f>E106*F102</f>
        <v>1.4000000000000001</v>
      </c>
      <c r="G106" s="239"/>
      <c r="H106" s="240">
        <f t="shared" si="75"/>
        <v>0</v>
      </c>
      <c r="I106" s="239"/>
      <c r="J106" s="239"/>
      <c r="K106" s="239"/>
      <c r="L106" s="239"/>
      <c r="M106" s="240">
        <f t="shared" si="73"/>
        <v>0</v>
      </c>
      <c r="N106" s="198"/>
      <c r="O106" s="198"/>
      <c r="P106" s="198"/>
      <c r="Q106" s="198"/>
      <c r="R106" s="198"/>
    </row>
    <row r="107" spans="1:18" ht="45">
      <c r="A107" s="237">
        <v>15</v>
      </c>
      <c r="B107" s="238" t="s">
        <v>843</v>
      </c>
      <c r="C107" s="403" t="s">
        <v>1003</v>
      </c>
      <c r="D107" s="237" t="s">
        <v>99</v>
      </c>
      <c r="E107" s="239"/>
      <c r="F107" s="239">
        <v>25</v>
      </c>
      <c r="G107" s="239"/>
      <c r="H107" s="239"/>
      <c r="I107" s="239"/>
      <c r="J107" s="239"/>
      <c r="K107" s="239"/>
      <c r="L107" s="239"/>
      <c r="M107" s="239"/>
      <c r="N107" s="198"/>
      <c r="O107" s="198"/>
      <c r="P107" s="198"/>
      <c r="Q107" s="198"/>
      <c r="R107" s="198"/>
    </row>
    <row r="108" spans="1:18" ht="15">
      <c r="A108" s="237"/>
      <c r="B108" s="238"/>
      <c r="C108" s="239" t="s">
        <v>180</v>
      </c>
      <c r="D108" s="239" t="s">
        <v>99</v>
      </c>
      <c r="E108" s="239">
        <v>1</v>
      </c>
      <c r="F108" s="239">
        <f>E108*F107</f>
        <v>25</v>
      </c>
      <c r="G108" s="240"/>
      <c r="H108" s="240"/>
      <c r="I108" s="240"/>
      <c r="J108" s="240">
        <f t="shared" ref="J108" si="76">I108*F108</f>
        <v>0</v>
      </c>
      <c r="K108" s="240"/>
      <c r="L108" s="240"/>
      <c r="M108" s="240">
        <f t="shared" ref="M108:M111" si="77">L108+J108+H108</f>
        <v>0</v>
      </c>
      <c r="N108" s="198"/>
      <c r="O108" s="198"/>
      <c r="P108" s="198"/>
      <c r="Q108" s="198"/>
      <c r="R108" s="198"/>
    </row>
    <row r="109" spans="1:18" ht="15">
      <c r="A109" s="237"/>
      <c r="B109" s="238"/>
      <c r="C109" s="239" t="s">
        <v>36</v>
      </c>
      <c r="D109" s="239" t="s">
        <v>25</v>
      </c>
      <c r="E109" s="239">
        <v>4.5999999999999999E-2</v>
      </c>
      <c r="F109" s="239">
        <f>E109*F107</f>
        <v>1.1499999999999999</v>
      </c>
      <c r="G109" s="240"/>
      <c r="H109" s="240"/>
      <c r="I109" s="240"/>
      <c r="J109" s="240"/>
      <c r="K109" s="240"/>
      <c r="L109" s="240">
        <f t="shared" ref="L109" si="78">K109*F109</f>
        <v>0</v>
      </c>
      <c r="M109" s="240">
        <f t="shared" si="77"/>
        <v>0</v>
      </c>
      <c r="N109" s="198"/>
      <c r="O109" s="198"/>
      <c r="P109" s="198"/>
      <c r="Q109" s="198"/>
      <c r="R109" s="198"/>
    </row>
    <row r="110" spans="1:18" ht="15">
      <c r="A110" s="237"/>
      <c r="B110" s="238"/>
      <c r="C110" s="239" t="s">
        <v>1001</v>
      </c>
      <c r="D110" s="239" t="s">
        <v>99</v>
      </c>
      <c r="E110" s="239">
        <v>1</v>
      </c>
      <c r="F110" s="239">
        <f>E110*F107</f>
        <v>25</v>
      </c>
      <c r="G110" s="240"/>
      <c r="H110" s="240">
        <f t="shared" ref="H110:H111" si="79">G110*F110</f>
        <v>0</v>
      </c>
      <c r="I110" s="240"/>
      <c r="J110" s="240"/>
      <c r="K110" s="240"/>
      <c r="L110" s="240"/>
      <c r="M110" s="240">
        <f t="shared" si="77"/>
        <v>0</v>
      </c>
      <c r="N110" s="198"/>
      <c r="O110" s="198"/>
      <c r="P110" s="198"/>
      <c r="Q110" s="198"/>
      <c r="R110" s="198"/>
    </row>
    <row r="111" spans="1:18" ht="15">
      <c r="A111" s="237"/>
      <c r="B111" s="238"/>
      <c r="C111" s="239" t="s">
        <v>21</v>
      </c>
      <c r="D111" s="239" t="s">
        <v>25</v>
      </c>
      <c r="E111" s="239">
        <v>2.8000000000000001E-2</v>
      </c>
      <c r="F111" s="239">
        <f>E111*F107</f>
        <v>0.70000000000000007</v>
      </c>
      <c r="G111" s="239"/>
      <c r="H111" s="240">
        <f t="shared" si="79"/>
        <v>0</v>
      </c>
      <c r="I111" s="239"/>
      <c r="J111" s="239"/>
      <c r="K111" s="239"/>
      <c r="L111" s="239"/>
      <c r="M111" s="240">
        <f t="shared" si="77"/>
        <v>0</v>
      </c>
      <c r="N111" s="198"/>
      <c r="O111" s="198"/>
      <c r="P111" s="198"/>
      <c r="Q111" s="198"/>
      <c r="R111" s="198"/>
    </row>
    <row r="112" spans="1:18" ht="45">
      <c r="A112" s="237">
        <v>16</v>
      </c>
      <c r="B112" s="238" t="s">
        <v>843</v>
      </c>
      <c r="C112" s="403" t="s">
        <v>1004</v>
      </c>
      <c r="D112" s="237" t="s">
        <v>99</v>
      </c>
      <c r="E112" s="239"/>
      <c r="F112" s="239">
        <v>100</v>
      </c>
      <c r="G112" s="239"/>
      <c r="H112" s="239"/>
      <c r="I112" s="239"/>
      <c r="J112" s="239"/>
      <c r="K112" s="239"/>
      <c r="L112" s="239"/>
      <c r="M112" s="239"/>
      <c r="N112" s="198"/>
      <c r="O112" s="198"/>
      <c r="P112" s="198"/>
      <c r="Q112" s="198"/>
      <c r="R112" s="198"/>
    </row>
    <row r="113" spans="1:18" ht="15">
      <c r="A113" s="237"/>
      <c r="B113" s="238"/>
      <c r="C113" s="239" t="s">
        <v>180</v>
      </c>
      <c r="D113" s="239" t="s">
        <v>99</v>
      </c>
      <c r="E113" s="239">
        <v>1</v>
      </c>
      <c r="F113" s="239">
        <f>E113*F112</f>
        <v>100</v>
      </c>
      <c r="G113" s="240"/>
      <c r="H113" s="240"/>
      <c r="I113" s="240"/>
      <c r="J113" s="240">
        <f t="shared" ref="J113" si="80">I113*F113</f>
        <v>0</v>
      </c>
      <c r="K113" s="240"/>
      <c r="L113" s="240"/>
      <c r="M113" s="240">
        <f t="shared" ref="M113:M116" si="81">L113+J113+H113</f>
        <v>0</v>
      </c>
      <c r="N113" s="198"/>
      <c r="O113" s="198"/>
      <c r="P113" s="198"/>
      <c r="Q113" s="198"/>
      <c r="R113" s="198"/>
    </row>
    <row r="114" spans="1:18" ht="15">
      <c r="A114" s="237"/>
      <c r="B114" s="238"/>
      <c r="C114" s="239" t="s">
        <v>36</v>
      </c>
      <c r="D114" s="239" t="s">
        <v>25</v>
      </c>
      <c r="E114" s="239">
        <v>4.5999999999999999E-2</v>
      </c>
      <c r="F114" s="239">
        <f>E114*F112</f>
        <v>4.5999999999999996</v>
      </c>
      <c r="G114" s="240"/>
      <c r="H114" s="240"/>
      <c r="I114" s="240"/>
      <c r="J114" s="240"/>
      <c r="K114" s="240"/>
      <c r="L114" s="240">
        <f t="shared" ref="L114" si="82">K114*F114</f>
        <v>0</v>
      </c>
      <c r="M114" s="240">
        <f t="shared" si="81"/>
        <v>0</v>
      </c>
      <c r="N114" s="198"/>
      <c r="O114" s="198"/>
      <c r="P114" s="198"/>
      <c r="Q114" s="198"/>
      <c r="R114" s="198"/>
    </row>
    <row r="115" spans="1:18" ht="15">
      <c r="A115" s="237"/>
      <c r="B115" s="238"/>
      <c r="C115" s="239" t="s">
        <v>1001</v>
      </c>
      <c r="D115" s="239" t="s">
        <v>99</v>
      </c>
      <c r="E115" s="239">
        <v>1</v>
      </c>
      <c r="F115" s="239">
        <f>E115*F112</f>
        <v>100</v>
      </c>
      <c r="G115" s="240"/>
      <c r="H115" s="240">
        <f t="shared" ref="H115:H116" si="83">G115*F115</f>
        <v>0</v>
      </c>
      <c r="I115" s="240"/>
      <c r="J115" s="240"/>
      <c r="K115" s="240"/>
      <c r="L115" s="240"/>
      <c r="M115" s="240">
        <f t="shared" si="81"/>
        <v>0</v>
      </c>
      <c r="N115" s="198"/>
      <c r="O115" s="198"/>
      <c r="P115" s="198"/>
      <c r="Q115" s="198"/>
      <c r="R115" s="198"/>
    </row>
    <row r="116" spans="1:18" ht="15">
      <c r="A116" s="237"/>
      <c r="B116" s="238"/>
      <c r="C116" s="239" t="s">
        <v>21</v>
      </c>
      <c r="D116" s="239" t="s">
        <v>25</v>
      </c>
      <c r="E116" s="239">
        <v>2.8000000000000001E-2</v>
      </c>
      <c r="F116" s="239">
        <f>E116*F112</f>
        <v>2.8000000000000003</v>
      </c>
      <c r="G116" s="239"/>
      <c r="H116" s="240">
        <f t="shared" si="83"/>
        <v>0</v>
      </c>
      <c r="I116" s="239"/>
      <c r="J116" s="239"/>
      <c r="K116" s="239"/>
      <c r="L116" s="239"/>
      <c r="M116" s="240">
        <f t="shared" si="81"/>
        <v>0</v>
      </c>
      <c r="N116" s="198"/>
      <c r="O116" s="198"/>
      <c r="P116" s="198"/>
      <c r="Q116" s="198"/>
      <c r="R116" s="198"/>
    </row>
    <row r="117" spans="1:18" ht="45">
      <c r="A117" s="237">
        <v>17</v>
      </c>
      <c r="B117" s="238" t="s">
        <v>1006</v>
      </c>
      <c r="C117" s="403" t="s">
        <v>1005</v>
      </c>
      <c r="D117" s="237" t="s">
        <v>99</v>
      </c>
      <c r="E117" s="239"/>
      <c r="F117" s="239">
        <v>320</v>
      </c>
      <c r="G117" s="239"/>
      <c r="H117" s="239"/>
      <c r="I117" s="239"/>
      <c r="J117" s="239"/>
      <c r="K117" s="239"/>
      <c r="L117" s="239"/>
      <c r="M117" s="239"/>
      <c r="N117" s="198"/>
      <c r="O117" s="198"/>
      <c r="P117" s="198"/>
      <c r="Q117" s="198"/>
      <c r="R117" s="198"/>
    </row>
    <row r="118" spans="1:18" ht="15">
      <c r="A118" s="237"/>
      <c r="B118" s="238"/>
      <c r="C118" s="239" t="s">
        <v>180</v>
      </c>
      <c r="D118" s="239" t="s">
        <v>99</v>
      </c>
      <c r="E118" s="239">
        <v>1</v>
      </c>
      <c r="F118" s="239">
        <f>E118*F117</f>
        <v>320</v>
      </c>
      <c r="G118" s="240"/>
      <c r="H118" s="240"/>
      <c r="I118" s="240"/>
      <c r="J118" s="240">
        <f t="shared" ref="J118" si="84">I118*F118</f>
        <v>0</v>
      </c>
      <c r="K118" s="240"/>
      <c r="L118" s="240"/>
      <c r="M118" s="240">
        <f t="shared" ref="M118:M121" si="85">L118+J118+H118</f>
        <v>0</v>
      </c>
      <c r="N118" s="198"/>
      <c r="O118" s="198"/>
      <c r="P118" s="198"/>
      <c r="Q118" s="198"/>
      <c r="R118" s="198"/>
    </row>
    <row r="119" spans="1:18" ht="15">
      <c r="A119" s="237"/>
      <c r="B119" s="238"/>
      <c r="C119" s="239" t="s">
        <v>36</v>
      </c>
      <c r="D119" s="239" t="s">
        <v>25</v>
      </c>
      <c r="E119" s="239">
        <v>6.7799999999999999E-2</v>
      </c>
      <c r="F119" s="239">
        <f>E119*F117</f>
        <v>21.695999999999998</v>
      </c>
      <c r="G119" s="240"/>
      <c r="H119" s="240"/>
      <c r="I119" s="240"/>
      <c r="J119" s="240"/>
      <c r="K119" s="240"/>
      <c r="L119" s="240">
        <f t="shared" ref="L119" si="86">K119*F119</f>
        <v>0</v>
      </c>
      <c r="M119" s="240">
        <f t="shared" si="85"/>
        <v>0</v>
      </c>
      <c r="N119" s="198"/>
      <c r="O119" s="198"/>
      <c r="P119" s="198"/>
      <c r="Q119" s="198"/>
      <c r="R119" s="198"/>
    </row>
    <row r="120" spans="1:18" ht="15">
      <c r="A120" s="237"/>
      <c r="B120" s="238"/>
      <c r="C120" s="239" t="s">
        <v>1001</v>
      </c>
      <c r="D120" s="239" t="s">
        <v>99</v>
      </c>
      <c r="E120" s="239">
        <v>1</v>
      </c>
      <c r="F120" s="239">
        <f>E120*F117</f>
        <v>320</v>
      </c>
      <c r="G120" s="240"/>
      <c r="H120" s="240">
        <f t="shared" ref="H120:H121" si="87">G120*F120</f>
        <v>0</v>
      </c>
      <c r="I120" s="240"/>
      <c r="J120" s="240"/>
      <c r="K120" s="240"/>
      <c r="L120" s="240"/>
      <c r="M120" s="240">
        <f t="shared" si="85"/>
        <v>0</v>
      </c>
      <c r="N120" s="198"/>
      <c r="O120" s="198"/>
      <c r="P120" s="198"/>
      <c r="Q120" s="198"/>
      <c r="R120" s="198"/>
    </row>
    <row r="121" spans="1:18" ht="15">
      <c r="A121" s="237"/>
      <c r="B121" s="238"/>
      <c r="C121" s="239" t="s">
        <v>21</v>
      </c>
      <c r="D121" s="239" t="s">
        <v>25</v>
      </c>
      <c r="E121" s="239">
        <v>4.24E-2</v>
      </c>
      <c r="F121" s="239">
        <f>E121*F117</f>
        <v>13.568</v>
      </c>
      <c r="G121" s="239"/>
      <c r="H121" s="240">
        <f t="shared" si="87"/>
        <v>0</v>
      </c>
      <c r="I121" s="239"/>
      <c r="J121" s="239"/>
      <c r="K121" s="239"/>
      <c r="L121" s="239"/>
      <c r="M121" s="240">
        <f t="shared" si="85"/>
        <v>0</v>
      </c>
      <c r="N121" s="198"/>
      <c r="O121" s="198"/>
      <c r="P121" s="198"/>
      <c r="Q121" s="198"/>
      <c r="R121" s="198"/>
    </row>
    <row r="122" spans="1:18" ht="45">
      <c r="A122" s="237">
        <v>18</v>
      </c>
      <c r="B122" s="238" t="s">
        <v>1006</v>
      </c>
      <c r="C122" s="403" t="s">
        <v>1007</v>
      </c>
      <c r="D122" s="237" t="s">
        <v>99</v>
      </c>
      <c r="E122" s="239"/>
      <c r="F122" s="239">
        <v>125</v>
      </c>
      <c r="G122" s="239"/>
      <c r="H122" s="239"/>
      <c r="I122" s="239"/>
      <c r="J122" s="239"/>
      <c r="K122" s="239"/>
      <c r="L122" s="239"/>
      <c r="M122" s="239"/>
      <c r="N122" s="198"/>
      <c r="O122" s="198"/>
      <c r="P122" s="198"/>
      <c r="Q122" s="198"/>
      <c r="R122" s="198"/>
    </row>
    <row r="123" spans="1:18" ht="15">
      <c r="A123" s="237"/>
      <c r="B123" s="238"/>
      <c r="C123" s="239" t="s">
        <v>180</v>
      </c>
      <c r="D123" s="239" t="s">
        <v>99</v>
      </c>
      <c r="E123" s="239">
        <v>1</v>
      </c>
      <c r="F123" s="239">
        <f>E123*F122</f>
        <v>125</v>
      </c>
      <c r="G123" s="240"/>
      <c r="H123" s="240"/>
      <c r="I123" s="240"/>
      <c r="J123" s="240">
        <f t="shared" ref="J123" si="88">I123*F123</f>
        <v>0</v>
      </c>
      <c r="K123" s="240"/>
      <c r="L123" s="240"/>
      <c r="M123" s="240">
        <f t="shared" ref="M123:M126" si="89">L123+J123+H123</f>
        <v>0</v>
      </c>
      <c r="N123" s="198"/>
      <c r="O123" s="198"/>
      <c r="P123" s="198"/>
      <c r="Q123" s="198"/>
      <c r="R123" s="198"/>
    </row>
    <row r="124" spans="1:18" ht="15">
      <c r="A124" s="237"/>
      <c r="B124" s="238"/>
      <c r="C124" s="239" t="s">
        <v>36</v>
      </c>
      <c r="D124" s="239" t="s">
        <v>25</v>
      </c>
      <c r="E124" s="239">
        <v>6.7799999999999999E-2</v>
      </c>
      <c r="F124" s="239">
        <f>E124*F122</f>
        <v>8.4749999999999996</v>
      </c>
      <c r="G124" s="240"/>
      <c r="H124" s="240"/>
      <c r="I124" s="240"/>
      <c r="J124" s="240"/>
      <c r="K124" s="240"/>
      <c r="L124" s="240">
        <f t="shared" ref="L124" si="90">K124*F124</f>
        <v>0</v>
      </c>
      <c r="M124" s="240">
        <f t="shared" si="89"/>
        <v>0</v>
      </c>
      <c r="N124" s="198"/>
      <c r="O124" s="198"/>
      <c r="P124" s="198"/>
      <c r="Q124" s="198"/>
      <c r="R124" s="198"/>
    </row>
    <row r="125" spans="1:18" ht="15">
      <c r="A125" s="237"/>
      <c r="B125" s="238"/>
      <c r="C125" s="239" t="s">
        <v>1001</v>
      </c>
      <c r="D125" s="239" t="s">
        <v>99</v>
      </c>
      <c r="E125" s="239">
        <v>1</v>
      </c>
      <c r="F125" s="239">
        <f>E125*F122</f>
        <v>125</v>
      </c>
      <c r="G125" s="240"/>
      <c r="H125" s="240">
        <f t="shared" ref="H125:H126" si="91">G125*F125</f>
        <v>0</v>
      </c>
      <c r="I125" s="240"/>
      <c r="J125" s="240"/>
      <c r="K125" s="240"/>
      <c r="L125" s="240"/>
      <c r="M125" s="240">
        <f t="shared" si="89"/>
        <v>0</v>
      </c>
      <c r="N125" s="198"/>
      <c r="O125" s="198"/>
      <c r="P125" s="198"/>
      <c r="Q125" s="198"/>
      <c r="R125" s="198"/>
    </row>
    <row r="126" spans="1:18" ht="15">
      <c r="A126" s="237"/>
      <c r="B126" s="238"/>
      <c r="C126" s="239" t="s">
        <v>21</v>
      </c>
      <c r="D126" s="239" t="s">
        <v>25</v>
      </c>
      <c r="E126" s="239">
        <v>4.24E-2</v>
      </c>
      <c r="F126" s="239">
        <f>E126*F122</f>
        <v>5.3</v>
      </c>
      <c r="G126" s="239"/>
      <c r="H126" s="240">
        <f t="shared" si="91"/>
        <v>0</v>
      </c>
      <c r="I126" s="239"/>
      <c r="J126" s="239"/>
      <c r="K126" s="239"/>
      <c r="L126" s="239"/>
      <c r="M126" s="240">
        <f t="shared" si="89"/>
        <v>0</v>
      </c>
      <c r="N126" s="198"/>
      <c r="O126" s="198"/>
      <c r="P126" s="198"/>
      <c r="Q126" s="198"/>
      <c r="R126" s="198"/>
    </row>
    <row r="127" spans="1:18" ht="45">
      <c r="A127" s="237">
        <v>19</v>
      </c>
      <c r="B127" s="238" t="s">
        <v>1008</v>
      </c>
      <c r="C127" s="403" t="s">
        <v>1009</v>
      </c>
      <c r="D127" s="237" t="s">
        <v>99</v>
      </c>
      <c r="E127" s="239"/>
      <c r="F127" s="239">
        <v>15</v>
      </c>
      <c r="G127" s="239"/>
      <c r="H127" s="239"/>
      <c r="I127" s="239"/>
      <c r="J127" s="239"/>
      <c r="K127" s="239"/>
      <c r="L127" s="239"/>
      <c r="M127" s="239"/>
      <c r="N127" s="198"/>
      <c r="O127" s="198"/>
      <c r="P127" s="198"/>
      <c r="Q127" s="198"/>
      <c r="R127" s="198"/>
    </row>
    <row r="128" spans="1:18" ht="15">
      <c r="A128" s="237"/>
      <c r="B128" s="238"/>
      <c r="C128" s="239" t="s">
        <v>180</v>
      </c>
      <c r="D128" s="239" t="s">
        <v>99</v>
      </c>
      <c r="E128" s="239">
        <v>1</v>
      </c>
      <c r="F128" s="239">
        <f>E128*F127</f>
        <v>15</v>
      </c>
      <c r="G128" s="240"/>
      <c r="H128" s="240"/>
      <c r="I128" s="240"/>
      <c r="J128" s="240">
        <f t="shared" ref="J128" si="92">I128*F128</f>
        <v>0</v>
      </c>
      <c r="K128" s="240"/>
      <c r="L128" s="240"/>
      <c r="M128" s="240">
        <f t="shared" ref="M128:M131" si="93">L128+J128+H128</f>
        <v>0</v>
      </c>
      <c r="N128" s="198"/>
      <c r="O128" s="198"/>
      <c r="P128" s="198"/>
      <c r="Q128" s="198"/>
      <c r="R128" s="198"/>
    </row>
    <row r="129" spans="1:18" ht="15">
      <c r="A129" s="237"/>
      <c r="B129" s="238"/>
      <c r="C129" s="239" t="s">
        <v>36</v>
      </c>
      <c r="D129" s="239" t="s">
        <v>25</v>
      </c>
      <c r="E129" s="239">
        <v>9.0700000000000003E-2</v>
      </c>
      <c r="F129" s="239">
        <f>E129*F127</f>
        <v>1.3605</v>
      </c>
      <c r="G129" s="240"/>
      <c r="H129" s="240"/>
      <c r="I129" s="240"/>
      <c r="J129" s="240"/>
      <c r="K129" s="240"/>
      <c r="L129" s="240">
        <f t="shared" ref="L129" si="94">K129*F129</f>
        <v>0</v>
      </c>
      <c r="M129" s="240">
        <f t="shared" si="93"/>
        <v>0</v>
      </c>
      <c r="N129" s="198"/>
      <c r="O129" s="198"/>
      <c r="P129" s="198"/>
      <c r="Q129" s="198"/>
      <c r="R129" s="198"/>
    </row>
    <row r="130" spans="1:18" ht="15">
      <c r="A130" s="237"/>
      <c r="B130" s="238"/>
      <c r="C130" s="239" t="s">
        <v>1001</v>
      </c>
      <c r="D130" s="239" t="s">
        <v>99</v>
      </c>
      <c r="E130" s="239">
        <v>1</v>
      </c>
      <c r="F130" s="239">
        <f>E130*F127</f>
        <v>15</v>
      </c>
      <c r="G130" s="240"/>
      <c r="H130" s="240">
        <f t="shared" ref="H130:H131" si="95">G130*F130</f>
        <v>0</v>
      </c>
      <c r="I130" s="240"/>
      <c r="J130" s="240"/>
      <c r="K130" s="240"/>
      <c r="L130" s="240"/>
      <c r="M130" s="240">
        <f t="shared" si="93"/>
        <v>0</v>
      </c>
      <c r="N130" s="198"/>
      <c r="O130" s="198"/>
      <c r="P130" s="198"/>
      <c r="Q130" s="198"/>
      <c r="R130" s="198"/>
    </row>
    <row r="131" spans="1:18" ht="15">
      <c r="A131" s="237"/>
      <c r="B131" s="238"/>
      <c r="C131" s="239" t="s">
        <v>21</v>
      </c>
      <c r="D131" s="239" t="s">
        <v>25</v>
      </c>
      <c r="E131" s="239">
        <v>9.6100000000000005E-2</v>
      </c>
      <c r="F131" s="239">
        <f>E131*F127</f>
        <v>1.4415</v>
      </c>
      <c r="G131" s="239"/>
      <c r="H131" s="240">
        <f t="shared" si="95"/>
        <v>0</v>
      </c>
      <c r="I131" s="239"/>
      <c r="J131" s="239"/>
      <c r="K131" s="239"/>
      <c r="L131" s="239"/>
      <c r="M131" s="240">
        <f t="shared" si="93"/>
        <v>0</v>
      </c>
      <c r="N131" s="198"/>
      <c r="O131" s="198"/>
      <c r="P131" s="198"/>
      <c r="Q131" s="198"/>
      <c r="R131" s="198"/>
    </row>
    <row r="132" spans="1:18" ht="15">
      <c r="A132" s="237">
        <v>20</v>
      </c>
      <c r="B132" s="238"/>
      <c r="C132" s="239" t="s">
        <v>1010</v>
      </c>
      <c r="D132" s="399">
        <v>0.4</v>
      </c>
      <c r="E132" s="239"/>
      <c r="F132" s="239"/>
      <c r="G132" s="239"/>
      <c r="H132" s="240">
        <f>SUM(H96:H131)*0.4</f>
        <v>0</v>
      </c>
      <c r="I132" s="239"/>
      <c r="J132" s="239"/>
      <c r="K132" s="239"/>
      <c r="L132" s="239"/>
      <c r="M132" s="240">
        <f t="shared" ref="M132" si="96">L132+J132+H132</f>
        <v>0</v>
      </c>
      <c r="N132" s="198"/>
      <c r="O132" s="198"/>
      <c r="P132" s="198"/>
      <c r="Q132" s="198"/>
      <c r="R132" s="198"/>
    </row>
    <row r="133" spans="1:18" ht="15">
      <c r="A133" s="237">
        <v>21</v>
      </c>
      <c r="B133" s="238" t="s">
        <v>1011</v>
      </c>
      <c r="C133" s="403" t="s">
        <v>1012</v>
      </c>
      <c r="D133" s="237" t="s">
        <v>19</v>
      </c>
      <c r="E133" s="239"/>
      <c r="F133" s="239">
        <f>F136+F137+F138</f>
        <v>337</v>
      </c>
      <c r="G133" s="239"/>
      <c r="H133" s="239"/>
      <c r="I133" s="239"/>
      <c r="J133" s="239"/>
      <c r="K133" s="239"/>
      <c r="L133" s="239"/>
      <c r="M133" s="239"/>
      <c r="N133" s="198"/>
      <c r="O133" s="198"/>
      <c r="P133" s="198"/>
      <c r="Q133" s="198"/>
      <c r="R133" s="198"/>
    </row>
    <row r="134" spans="1:18" ht="15">
      <c r="A134" s="237"/>
      <c r="B134" s="238"/>
      <c r="C134" s="239" t="s">
        <v>180</v>
      </c>
      <c r="D134" s="239" t="s">
        <v>99</v>
      </c>
      <c r="E134" s="239">
        <v>1</v>
      </c>
      <c r="F134" s="239">
        <f>E134*F133</f>
        <v>337</v>
      </c>
      <c r="G134" s="240"/>
      <c r="H134" s="240"/>
      <c r="I134" s="240"/>
      <c r="J134" s="240">
        <f t="shared" ref="J134" si="97">I134*F134</f>
        <v>0</v>
      </c>
      <c r="K134" s="240"/>
      <c r="L134" s="240"/>
      <c r="M134" s="240">
        <f t="shared" ref="M134:M140" si="98">L134+J134+H134</f>
        <v>0</v>
      </c>
      <c r="N134" s="198"/>
      <c r="O134" s="198"/>
      <c r="P134" s="198"/>
      <c r="Q134" s="198"/>
      <c r="R134" s="198"/>
    </row>
    <row r="135" spans="1:18" ht="15">
      <c r="A135" s="237"/>
      <c r="B135" s="238"/>
      <c r="C135" s="239" t="s">
        <v>36</v>
      </c>
      <c r="D135" s="239" t="s">
        <v>25</v>
      </c>
      <c r="E135" s="239">
        <v>0.03</v>
      </c>
      <c r="F135" s="239">
        <f>E135*F133</f>
        <v>10.11</v>
      </c>
      <c r="G135" s="240"/>
      <c r="H135" s="240"/>
      <c r="I135" s="240"/>
      <c r="J135" s="240"/>
      <c r="K135" s="240"/>
      <c r="L135" s="240">
        <f t="shared" ref="L135" si="99">K135*F135</f>
        <v>0</v>
      </c>
      <c r="M135" s="240">
        <f t="shared" si="98"/>
        <v>0</v>
      </c>
      <c r="N135" s="198"/>
      <c r="O135" s="198"/>
      <c r="P135" s="198"/>
      <c r="Q135" s="198"/>
      <c r="R135" s="198"/>
    </row>
    <row r="136" spans="1:18" ht="30">
      <c r="A136" s="237"/>
      <c r="B136" s="238"/>
      <c r="C136" s="402" t="s">
        <v>749</v>
      </c>
      <c r="D136" s="239" t="s">
        <v>99</v>
      </c>
      <c r="E136" s="239"/>
      <c r="F136" s="239">
        <v>253</v>
      </c>
      <c r="G136" s="240"/>
      <c r="H136" s="240">
        <f t="shared" ref="H136:H140" si="100">G136*F136</f>
        <v>0</v>
      </c>
      <c r="I136" s="240"/>
      <c r="J136" s="240"/>
      <c r="K136" s="240"/>
      <c r="L136" s="240"/>
      <c r="M136" s="240">
        <f t="shared" si="98"/>
        <v>0</v>
      </c>
      <c r="N136" s="198"/>
      <c r="O136" s="198"/>
      <c r="P136" s="198"/>
      <c r="Q136" s="198"/>
      <c r="R136" s="198"/>
    </row>
    <row r="137" spans="1:18" ht="15">
      <c r="A137" s="237"/>
      <c r="B137" s="238"/>
      <c r="C137" s="402" t="s">
        <v>750</v>
      </c>
      <c r="D137" s="239" t="s">
        <v>99</v>
      </c>
      <c r="E137" s="239"/>
      <c r="F137" s="239">
        <v>59</v>
      </c>
      <c r="G137" s="240"/>
      <c r="H137" s="240">
        <f t="shared" si="100"/>
        <v>0</v>
      </c>
      <c r="I137" s="240"/>
      <c r="J137" s="240"/>
      <c r="K137" s="240"/>
      <c r="L137" s="240"/>
      <c r="M137" s="240">
        <f t="shared" si="98"/>
        <v>0</v>
      </c>
      <c r="N137" s="198"/>
      <c r="O137" s="198"/>
      <c r="P137" s="198"/>
      <c r="Q137" s="198"/>
      <c r="R137" s="198"/>
    </row>
    <row r="138" spans="1:18" ht="30">
      <c r="A138" s="237"/>
      <c r="B138" s="238"/>
      <c r="C138" s="402" t="s">
        <v>751</v>
      </c>
      <c r="D138" s="239" t="s">
        <v>99</v>
      </c>
      <c r="E138" s="239"/>
      <c r="F138" s="239">
        <v>25</v>
      </c>
      <c r="G138" s="240"/>
      <c r="H138" s="240">
        <f t="shared" ref="H138" si="101">G138*F138</f>
        <v>0</v>
      </c>
      <c r="I138" s="240"/>
      <c r="J138" s="240"/>
      <c r="K138" s="240"/>
      <c r="L138" s="240"/>
      <c r="M138" s="240">
        <f t="shared" ref="M138" si="102">L138+J138+H138</f>
        <v>0</v>
      </c>
      <c r="N138" s="198"/>
      <c r="O138" s="198"/>
      <c r="P138" s="198"/>
      <c r="Q138" s="198"/>
      <c r="R138" s="198"/>
    </row>
    <row r="139" spans="1:18" ht="30">
      <c r="A139" s="237"/>
      <c r="B139" s="238"/>
      <c r="C139" s="402" t="s">
        <v>752</v>
      </c>
      <c r="D139" s="239" t="s">
        <v>19</v>
      </c>
      <c r="E139" s="239"/>
      <c r="F139" s="239">
        <v>340</v>
      </c>
      <c r="G139" s="240"/>
      <c r="H139" s="240">
        <f t="shared" ref="H139" si="103">G139*F139</f>
        <v>0</v>
      </c>
      <c r="I139" s="240"/>
      <c r="J139" s="240"/>
      <c r="K139" s="240"/>
      <c r="L139" s="240"/>
      <c r="M139" s="240">
        <f t="shared" ref="M139" si="104">L139+J139+H139</f>
        <v>0</v>
      </c>
      <c r="N139" s="198"/>
      <c r="O139" s="198"/>
      <c r="P139" s="198"/>
      <c r="Q139" s="198"/>
      <c r="R139" s="198"/>
    </row>
    <row r="140" spans="1:18" ht="15">
      <c r="A140" s="237"/>
      <c r="B140" s="238"/>
      <c r="C140" s="239" t="s">
        <v>21</v>
      </c>
      <c r="D140" s="239" t="s">
        <v>25</v>
      </c>
      <c r="E140" s="239">
        <v>9.6100000000000005E-2</v>
      </c>
      <c r="F140" s="239">
        <f>E140*F133</f>
        <v>32.3857</v>
      </c>
      <c r="G140" s="239"/>
      <c r="H140" s="240">
        <f t="shared" si="100"/>
        <v>0</v>
      </c>
      <c r="I140" s="239"/>
      <c r="J140" s="239"/>
      <c r="K140" s="239"/>
      <c r="L140" s="239"/>
      <c r="M140" s="240">
        <f t="shared" si="98"/>
        <v>0</v>
      </c>
      <c r="N140" s="198"/>
      <c r="O140" s="198"/>
      <c r="P140" s="198"/>
      <c r="Q140" s="198"/>
      <c r="R140" s="198"/>
    </row>
    <row r="141" spans="1:18" ht="15">
      <c r="A141" s="237">
        <v>22</v>
      </c>
      <c r="B141" s="238" t="s">
        <v>993</v>
      </c>
      <c r="C141" s="403" t="s">
        <v>1013</v>
      </c>
      <c r="D141" s="237" t="s">
        <v>19</v>
      </c>
      <c r="E141" s="239"/>
      <c r="F141" s="239">
        <v>13</v>
      </c>
      <c r="G141" s="239"/>
      <c r="H141" s="239"/>
      <c r="I141" s="239"/>
      <c r="J141" s="239"/>
      <c r="K141" s="239"/>
      <c r="L141" s="239"/>
      <c r="M141" s="239"/>
      <c r="N141" s="198"/>
      <c r="O141" s="198"/>
      <c r="P141" s="198"/>
      <c r="Q141" s="198"/>
      <c r="R141" s="198"/>
    </row>
    <row r="142" spans="1:18" ht="15">
      <c r="A142" s="237"/>
      <c r="B142" s="238"/>
      <c r="C142" s="239" t="s">
        <v>180</v>
      </c>
      <c r="D142" s="239" t="s">
        <v>99</v>
      </c>
      <c r="E142" s="239">
        <v>1</v>
      </c>
      <c r="F142" s="239">
        <f>E142*F141</f>
        <v>13</v>
      </c>
      <c r="G142" s="240"/>
      <c r="H142" s="240"/>
      <c r="I142" s="240"/>
      <c r="J142" s="240">
        <f t="shared" ref="J142" si="105">I142*F142</f>
        <v>0</v>
      </c>
      <c r="K142" s="240"/>
      <c r="L142" s="240"/>
      <c r="M142" s="240">
        <f t="shared" ref="M142:M147" si="106">L142+J142+H142</f>
        <v>0</v>
      </c>
      <c r="N142" s="198"/>
      <c r="O142" s="198"/>
      <c r="P142" s="198"/>
      <c r="Q142" s="198"/>
      <c r="R142" s="198"/>
    </row>
    <row r="143" spans="1:18" ht="15">
      <c r="A143" s="237"/>
      <c r="B143" s="238"/>
      <c r="C143" s="239" t="s">
        <v>36</v>
      </c>
      <c r="D143" s="239" t="s">
        <v>25</v>
      </c>
      <c r="E143" s="239">
        <v>0.03</v>
      </c>
      <c r="F143" s="239">
        <f>E143*F141</f>
        <v>0.39</v>
      </c>
      <c r="G143" s="240"/>
      <c r="H143" s="240"/>
      <c r="I143" s="240"/>
      <c r="J143" s="240"/>
      <c r="K143" s="240"/>
      <c r="L143" s="240">
        <f t="shared" ref="L143" si="107">K143*F143</f>
        <v>0</v>
      </c>
      <c r="M143" s="240">
        <f t="shared" si="106"/>
        <v>0</v>
      </c>
      <c r="N143" s="198"/>
      <c r="O143" s="198"/>
      <c r="P143" s="198"/>
      <c r="Q143" s="198"/>
      <c r="R143" s="198"/>
    </row>
    <row r="144" spans="1:18" ht="15">
      <c r="A144" s="237"/>
      <c r="B144" s="238"/>
      <c r="C144" s="402" t="s">
        <v>1014</v>
      </c>
      <c r="D144" s="239" t="s">
        <v>19</v>
      </c>
      <c r="E144" s="239">
        <v>1</v>
      </c>
      <c r="F144" s="239">
        <f>E144*F141</f>
        <v>13</v>
      </c>
      <c r="G144" s="240"/>
      <c r="H144" s="240">
        <f t="shared" ref="H144:H147" si="108">G144*F144</f>
        <v>0</v>
      </c>
      <c r="I144" s="240"/>
      <c r="J144" s="240"/>
      <c r="K144" s="240"/>
      <c r="L144" s="240"/>
      <c r="M144" s="240">
        <f t="shared" si="106"/>
        <v>0</v>
      </c>
      <c r="N144" s="198"/>
      <c r="O144" s="198"/>
      <c r="P144" s="198"/>
      <c r="Q144" s="198"/>
      <c r="R144" s="198"/>
    </row>
    <row r="145" spans="1:18" ht="15">
      <c r="A145" s="237"/>
      <c r="B145" s="238"/>
      <c r="C145" s="402" t="s">
        <v>1015</v>
      </c>
      <c r="D145" s="239" t="s">
        <v>19</v>
      </c>
      <c r="E145" s="239">
        <v>3</v>
      </c>
      <c r="F145" s="239">
        <f>E145*F141</f>
        <v>39</v>
      </c>
      <c r="G145" s="240"/>
      <c r="H145" s="240">
        <f t="shared" si="108"/>
        <v>0</v>
      </c>
      <c r="I145" s="240"/>
      <c r="J145" s="240"/>
      <c r="K145" s="240"/>
      <c r="L145" s="240"/>
      <c r="M145" s="240">
        <f t="shared" si="106"/>
        <v>0</v>
      </c>
      <c r="N145" s="198"/>
      <c r="O145" s="198"/>
      <c r="P145" s="198"/>
      <c r="Q145" s="198"/>
      <c r="R145" s="198"/>
    </row>
    <row r="146" spans="1:18" ht="15">
      <c r="A146" s="237"/>
      <c r="B146" s="238"/>
      <c r="C146" s="402" t="s">
        <v>1013</v>
      </c>
      <c r="D146" s="239" t="s">
        <v>19</v>
      </c>
      <c r="E146" s="239">
        <v>1</v>
      </c>
      <c r="F146" s="239">
        <f>E146*F141</f>
        <v>13</v>
      </c>
      <c r="G146" s="240"/>
      <c r="H146" s="240">
        <f t="shared" si="108"/>
        <v>0</v>
      </c>
      <c r="I146" s="240"/>
      <c r="J146" s="240"/>
      <c r="K146" s="240"/>
      <c r="L146" s="240"/>
      <c r="M146" s="240">
        <f t="shared" si="106"/>
        <v>0</v>
      </c>
      <c r="N146" s="198"/>
      <c r="O146" s="198"/>
      <c r="P146" s="198"/>
      <c r="Q146" s="198"/>
      <c r="R146" s="198"/>
    </row>
    <row r="147" spans="1:18" ht="15">
      <c r="A147" s="237"/>
      <c r="B147" s="238"/>
      <c r="C147" s="239" t="s">
        <v>21</v>
      </c>
      <c r="D147" s="239" t="s">
        <v>25</v>
      </c>
      <c r="E147" s="239">
        <v>9.6100000000000005E-2</v>
      </c>
      <c r="F147" s="239">
        <f>E147*F141</f>
        <v>1.2493000000000001</v>
      </c>
      <c r="G147" s="239"/>
      <c r="H147" s="240">
        <f t="shared" si="108"/>
        <v>0</v>
      </c>
      <c r="I147" s="239"/>
      <c r="J147" s="239"/>
      <c r="K147" s="239"/>
      <c r="L147" s="239"/>
      <c r="M147" s="240">
        <f t="shared" si="106"/>
        <v>0</v>
      </c>
      <c r="N147" s="198"/>
      <c r="O147" s="198"/>
      <c r="P147" s="198"/>
      <c r="Q147" s="198"/>
      <c r="R147" s="198"/>
    </row>
    <row r="148" spans="1:18" ht="30">
      <c r="A148" s="237">
        <v>23</v>
      </c>
      <c r="B148" s="238" t="s">
        <v>289</v>
      </c>
      <c r="C148" s="403" t="s">
        <v>753</v>
      </c>
      <c r="D148" s="237" t="s">
        <v>268</v>
      </c>
      <c r="E148" s="239"/>
      <c r="F148" s="239">
        <v>1</v>
      </c>
      <c r="G148" s="239"/>
      <c r="H148" s="239"/>
      <c r="I148" s="239"/>
      <c r="J148" s="239"/>
      <c r="K148" s="239"/>
      <c r="L148" s="239"/>
      <c r="M148" s="239"/>
      <c r="N148" s="198"/>
      <c r="O148" s="198"/>
      <c r="P148" s="198"/>
      <c r="Q148" s="198"/>
      <c r="R148" s="198"/>
    </row>
    <row r="149" spans="1:18" ht="15">
      <c r="A149" s="237"/>
      <c r="B149" s="238"/>
      <c r="C149" s="239" t="s">
        <v>180</v>
      </c>
      <c r="D149" s="239" t="s">
        <v>99</v>
      </c>
      <c r="E149" s="239">
        <v>1</v>
      </c>
      <c r="F149" s="239">
        <f>E149*F148</f>
        <v>1</v>
      </c>
      <c r="G149" s="240"/>
      <c r="H149" s="240"/>
      <c r="I149" s="240"/>
      <c r="J149" s="240">
        <f t="shared" ref="J149" si="109">I149*F149</f>
        <v>0</v>
      </c>
      <c r="K149" s="240"/>
      <c r="L149" s="240"/>
      <c r="M149" s="240">
        <f t="shared" ref="M149:M152" si="110">L149+J149+H149</f>
        <v>0</v>
      </c>
      <c r="N149" s="198"/>
      <c r="O149" s="198"/>
      <c r="P149" s="198"/>
      <c r="Q149" s="198"/>
      <c r="R149" s="198"/>
    </row>
    <row r="150" spans="1:18" ht="15">
      <c r="A150" s="237"/>
      <c r="B150" s="238"/>
      <c r="C150" s="239" t="s">
        <v>36</v>
      </c>
      <c r="D150" s="239" t="s">
        <v>25</v>
      </c>
      <c r="E150" s="239">
        <v>0.39</v>
      </c>
      <c r="F150" s="239">
        <f>E150*F148</f>
        <v>0.39</v>
      </c>
      <c r="G150" s="240"/>
      <c r="H150" s="240"/>
      <c r="I150" s="240"/>
      <c r="J150" s="240"/>
      <c r="K150" s="240"/>
      <c r="L150" s="240">
        <f t="shared" ref="L150" si="111">K150*F150</f>
        <v>0</v>
      </c>
      <c r="M150" s="240">
        <f t="shared" si="110"/>
        <v>0</v>
      </c>
      <c r="N150" s="198"/>
      <c r="O150" s="198"/>
      <c r="P150" s="198"/>
      <c r="Q150" s="198"/>
      <c r="R150" s="198"/>
    </row>
    <row r="151" spans="1:18" ht="15">
      <c r="A151" s="237"/>
      <c r="B151" s="238"/>
      <c r="C151" s="402" t="s">
        <v>777</v>
      </c>
      <c r="D151" s="239" t="s">
        <v>19</v>
      </c>
      <c r="E151" s="239">
        <v>1</v>
      </c>
      <c r="F151" s="239">
        <f>E151*F148</f>
        <v>1</v>
      </c>
      <c r="G151" s="240"/>
      <c r="H151" s="240">
        <f t="shared" ref="H151:H152" si="112">G151*F151</f>
        <v>0</v>
      </c>
      <c r="I151" s="240"/>
      <c r="J151" s="240"/>
      <c r="K151" s="240"/>
      <c r="L151" s="240"/>
      <c r="M151" s="240">
        <f t="shared" si="110"/>
        <v>0</v>
      </c>
      <c r="N151" s="198"/>
      <c r="O151" s="198"/>
      <c r="P151" s="198"/>
      <c r="Q151" s="198"/>
      <c r="R151" s="198"/>
    </row>
    <row r="152" spans="1:18" ht="15">
      <c r="A152" s="237"/>
      <c r="B152" s="238"/>
      <c r="C152" s="239" t="s">
        <v>21</v>
      </c>
      <c r="D152" s="239" t="s">
        <v>25</v>
      </c>
      <c r="E152" s="239">
        <v>9.6100000000000005E-2</v>
      </c>
      <c r="F152" s="239">
        <f>E152*F148</f>
        <v>9.6100000000000005E-2</v>
      </c>
      <c r="G152" s="239"/>
      <c r="H152" s="240">
        <f t="shared" si="112"/>
        <v>0</v>
      </c>
      <c r="I152" s="239"/>
      <c r="J152" s="239"/>
      <c r="K152" s="239"/>
      <c r="L152" s="239"/>
      <c r="M152" s="240">
        <f t="shared" si="110"/>
        <v>0</v>
      </c>
      <c r="N152" s="198"/>
      <c r="O152" s="198"/>
      <c r="P152" s="198"/>
      <c r="Q152" s="198"/>
      <c r="R152" s="198"/>
    </row>
    <row r="153" spans="1:18" ht="15.75" thickBot="1">
      <c r="A153" s="210"/>
      <c r="B153" s="211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3"/>
      <c r="N153" s="198"/>
      <c r="O153" s="198"/>
      <c r="P153" s="198"/>
      <c r="Q153" s="198"/>
      <c r="R153" s="198"/>
    </row>
    <row r="154" spans="1:18" s="220" customFormat="1" ht="15.75" thickBot="1">
      <c r="A154" s="214"/>
      <c r="B154" s="215"/>
      <c r="C154" s="216" t="s">
        <v>60</v>
      </c>
      <c r="D154" s="217"/>
      <c r="E154" s="214"/>
      <c r="F154" s="214"/>
      <c r="G154" s="214"/>
      <c r="H154" s="218">
        <f>SUM(H7:H153)</f>
        <v>0</v>
      </c>
      <c r="I154" s="214"/>
      <c r="J154" s="218">
        <f>SUM(J7:J153)</f>
        <v>0</v>
      </c>
      <c r="K154" s="214"/>
      <c r="L154" s="218">
        <f>SUM(L7:L153)</f>
        <v>0</v>
      </c>
      <c r="M154" s="218">
        <f>SUM(M7:M153)</f>
        <v>0</v>
      </c>
      <c r="N154" s="219"/>
      <c r="O154" s="219"/>
      <c r="P154" s="219"/>
      <c r="Q154" s="219"/>
      <c r="R154" s="219"/>
    </row>
    <row r="155" spans="1:18" ht="15.75" thickBot="1">
      <c r="A155" s="221"/>
      <c r="B155" s="222"/>
      <c r="C155" s="223" t="s">
        <v>158</v>
      </c>
      <c r="D155" s="224">
        <v>0</v>
      </c>
      <c r="E155" s="225"/>
      <c r="F155" s="225"/>
      <c r="G155" s="225"/>
      <c r="H155" s="226">
        <f>H154*D155</f>
        <v>0</v>
      </c>
      <c r="I155" s="226"/>
      <c r="J155" s="226"/>
      <c r="K155" s="226"/>
      <c r="L155" s="226"/>
      <c r="M155" s="227">
        <f>H155</f>
        <v>0</v>
      </c>
      <c r="N155" s="198"/>
      <c r="O155" s="198"/>
      <c r="P155" s="198"/>
      <c r="Q155" s="198"/>
      <c r="R155" s="198"/>
    </row>
    <row r="156" spans="1:18" ht="15.75" thickBot="1">
      <c r="A156" s="221"/>
      <c r="B156" s="222"/>
      <c r="C156" s="223" t="s">
        <v>60</v>
      </c>
      <c r="D156" s="223"/>
      <c r="E156" s="225"/>
      <c r="F156" s="225"/>
      <c r="G156" s="225"/>
      <c r="H156" s="226"/>
      <c r="I156" s="226"/>
      <c r="J156" s="226"/>
      <c r="K156" s="226"/>
      <c r="L156" s="226"/>
      <c r="M156" s="227">
        <f>M155+M154</f>
        <v>0</v>
      </c>
      <c r="N156" s="198"/>
      <c r="O156" s="198"/>
      <c r="P156" s="198"/>
      <c r="Q156" s="198"/>
      <c r="R156" s="198"/>
    </row>
    <row r="157" spans="1:18" ht="15.75" thickBot="1">
      <c r="A157" s="221"/>
      <c r="B157" s="222"/>
      <c r="C157" s="228" t="s">
        <v>61</v>
      </c>
      <c r="D157" s="229">
        <v>0</v>
      </c>
      <c r="E157" s="225"/>
      <c r="F157" s="225"/>
      <c r="G157" s="225"/>
      <c r="H157" s="226"/>
      <c r="I157" s="226"/>
      <c r="J157" s="226"/>
      <c r="K157" s="226"/>
      <c r="L157" s="226"/>
      <c r="M157" s="227">
        <f>M156*D157</f>
        <v>0</v>
      </c>
      <c r="N157" s="198"/>
      <c r="O157" s="198"/>
      <c r="P157" s="198"/>
      <c r="Q157" s="198"/>
      <c r="R157" s="198"/>
    </row>
    <row r="158" spans="1:18" ht="15.75" thickBot="1">
      <c r="A158" s="221"/>
      <c r="B158" s="222"/>
      <c r="C158" s="223" t="s">
        <v>60</v>
      </c>
      <c r="D158" s="223"/>
      <c r="E158" s="225"/>
      <c r="F158" s="225"/>
      <c r="G158" s="225"/>
      <c r="H158" s="226"/>
      <c r="I158" s="226"/>
      <c r="J158" s="226"/>
      <c r="K158" s="226"/>
      <c r="L158" s="226"/>
      <c r="M158" s="227">
        <f>M157+M156</f>
        <v>0</v>
      </c>
      <c r="N158" s="198"/>
      <c r="O158" s="198"/>
      <c r="P158" s="198"/>
      <c r="Q158" s="198"/>
      <c r="R158" s="198"/>
    </row>
    <row r="159" spans="1:18" ht="15.75" thickBot="1">
      <c r="A159" s="221"/>
      <c r="B159" s="222"/>
      <c r="C159" s="228" t="s">
        <v>62</v>
      </c>
      <c r="D159" s="229">
        <v>0</v>
      </c>
      <c r="E159" s="225"/>
      <c r="F159" s="225"/>
      <c r="G159" s="225"/>
      <c r="H159" s="226"/>
      <c r="I159" s="226"/>
      <c r="J159" s="226"/>
      <c r="K159" s="226"/>
      <c r="L159" s="226"/>
      <c r="M159" s="227">
        <f>M158*D159</f>
        <v>0</v>
      </c>
      <c r="N159" s="198"/>
      <c r="O159" s="198"/>
      <c r="P159" s="198"/>
      <c r="Q159" s="198"/>
      <c r="R159" s="198"/>
    </row>
    <row r="160" spans="1:18" ht="15.75" thickBot="1">
      <c r="A160" s="221"/>
      <c r="B160" s="222"/>
      <c r="C160" s="223" t="s">
        <v>60</v>
      </c>
      <c r="D160" s="223"/>
      <c r="E160" s="225"/>
      <c r="F160" s="225"/>
      <c r="G160" s="225"/>
      <c r="H160" s="226"/>
      <c r="I160" s="226"/>
      <c r="J160" s="226"/>
      <c r="K160" s="226"/>
      <c r="L160" s="226"/>
      <c r="M160" s="227">
        <f>M159+M158</f>
        <v>0</v>
      </c>
      <c r="N160" s="198"/>
      <c r="O160" s="198"/>
      <c r="P160" s="198"/>
      <c r="Q160" s="198"/>
      <c r="R160" s="198"/>
    </row>
    <row r="161" spans="1:18" ht="15.75" thickBot="1">
      <c r="A161" s="221"/>
      <c r="B161" s="222"/>
      <c r="C161" s="228" t="s">
        <v>159</v>
      </c>
      <c r="D161" s="229">
        <v>0</v>
      </c>
      <c r="E161" s="225"/>
      <c r="F161" s="225"/>
      <c r="G161" s="225"/>
      <c r="H161" s="226"/>
      <c r="I161" s="226"/>
      <c r="J161" s="226"/>
      <c r="K161" s="226"/>
      <c r="L161" s="226"/>
      <c r="M161" s="227">
        <f>M160*D161</f>
        <v>0</v>
      </c>
      <c r="N161" s="198"/>
      <c r="O161" s="198"/>
      <c r="P161" s="198"/>
      <c r="Q161" s="198"/>
      <c r="R161" s="198"/>
    </row>
    <row r="162" spans="1:18" ht="15.75" thickBot="1">
      <c r="A162" s="221"/>
      <c r="B162" s="222"/>
      <c r="C162" s="223" t="s">
        <v>60</v>
      </c>
      <c r="D162" s="223"/>
      <c r="E162" s="225"/>
      <c r="F162" s="225"/>
      <c r="G162" s="225"/>
      <c r="H162" s="226"/>
      <c r="I162" s="226"/>
      <c r="J162" s="226"/>
      <c r="K162" s="226"/>
      <c r="L162" s="226"/>
      <c r="M162" s="227">
        <f>M161+M160</f>
        <v>0</v>
      </c>
      <c r="N162" s="198"/>
      <c r="O162" s="198"/>
      <c r="P162" s="198"/>
      <c r="Q162" s="198"/>
      <c r="R162" s="198"/>
    </row>
    <row r="163" spans="1:18" ht="15.75" thickBot="1">
      <c r="A163" s="221"/>
      <c r="B163" s="222"/>
      <c r="C163" s="223" t="s">
        <v>63</v>
      </c>
      <c r="D163" s="229">
        <v>0.18</v>
      </c>
      <c r="E163" s="225"/>
      <c r="F163" s="225"/>
      <c r="G163" s="225"/>
      <c r="H163" s="226"/>
      <c r="I163" s="226"/>
      <c r="J163" s="226"/>
      <c r="K163" s="226"/>
      <c r="L163" s="226"/>
      <c r="M163" s="227">
        <f>M162*D163</f>
        <v>0</v>
      </c>
      <c r="N163" s="198"/>
      <c r="O163" s="198"/>
      <c r="P163" s="198"/>
      <c r="Q163" s="198"/>
      <c r="R163" s="198"/>
    </row>
    <row r="164" spans="1:18" ht="15.75" thickBot="1">
      <c r="A164" s="230"/>
      <c r="B164" s="231"/>
      <c r="C164" s="232" t="s">
        <v>60</v>
      </c>
      <c r="D164" s="232"/>
      <c r="E164" s="232"/>
      <c r="F164" s="232"/>
      <c r="G164" s="232"/>
      <c r="H164" s="233"/>
      <c r="I164" s="233"/>
      <c r="J164" s="233"/>
      <c r="K164" s="233"/>
      <c r="L164" s="233"/>
      <c r="M164" s="218">
        <f>M163+M162</f>
        <v>0</v>
      </c>
      <c r="N164" s="198"/>
      <c r="O164" s="198"/>
      <c r="P164" s="198"/>
      <c r="Q164" s="198"/>
      <c r="R164" s="198"/>
    </row>
    <row r="165" spans="1:18" ht="15">
      <c r="A165" s="196"/>
      <c r="B165" s="197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</row>
    <row r="166" spans="1:18" ht="15">
      <c r="A166" s="196"/>
      <c r="B166" s="197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</row>
    <row r="167" spans="1:18" ht="15">
      <c r="A167" s="196"/>
      <c r="B167" s="197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</row>
    <row r="168" spans="1:18" ht="15">
      <c r="A168" s="196"/>
      <c r="B168" s="197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</row>
    <row r="169" spans="1:18" ht="15">
      <c r="A169" s="196"/>
      <c r="B169" s="197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</row>
    <row r="170" spans="1:18" ht="15">
      <c r="A170" s="196"/>
      <c r="B170" s="197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</row>
    <row r="171" spans="1:18" ht="15">
      <c r="A171" s="196"/>
      <c r="B171" s="197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</row>
    <row r="172" spans="1:18" ht="15">
      <c r="A172" s="196"/>
      <c r="B172" s="197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</row>
    <row r="173" spans="1:18" ht="15">
      <c r="A173" s="196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</row>
    <row r="174" spans="1:18" ht="15">
      <c r="A174" s="196"/>
      <c r="B174" s="197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</row>
    <row r="175" spans="1:18" ht="15">
      <c r="A175" s="196"/>
      <c r="B175" s="197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</row>
    <row r="176" spans="1:18" ht="15">
      <c r="A176" s="196"/>
      <c r="B176" s="197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</row>
    <row r="177" spans="1:18" ht="15">
      <c r="A177" s="196"/>
      <c r="B177" s="197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</row>
    <row r="178" spans="1:18" ht="15">
      <c r="A178" s="196"/>
      <c r="B178" s="197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</row>
    <row r="179" spans="1:18" ht="15">
      <c r="A179" s="196"/>
      <c r="B179" s="197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</row>
    <row r="180" spans="1:18" ht="15">
      <c r="A180" s="196"/>
      <c r="B180" s="197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</row>
    <row r="181" spans="1:18" ht="15">
      <c r="A181" s="196"/>
      <c r="B181" s="197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</row>
    <row r="182" spans="1:18" ht="15">
      <c r="A182" s="196"/>
      <c r="B182" s="197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</row>
    <row r="183" spans="1:18" ht="15">
      <c r="A183" s="196"/>
      <c r="B183" s="197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</row>
    <row r="184" spans="1:18" ht="15">
      <c r="A184" s="196"/>
      <c r="B184" s="197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</row>
    <row r="185" spans="1:18" ht="15">
      <c r="A185" s="196"/>
      <c r="B185" s="197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</row>
    <row r="186" spans="1:18" ht="15">
      <c r="A186" s="196"/>
      <c r="B186" s="197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</row>
    <row r="187" spans="1:18" ht="15">
      <c r="A187" s="196"/>
      <c r="B187" s="197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</row>
    <row r="188" spans="1:18" ht="15">
      <c r="A188" s="196"/>
      <c r="B188" s="197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</row>
    <row r="189" spans="1:18" ht="15">
      <c r="A189" s="196"/>
      <c r="B189" s="197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</row>
    <row r="190" spans="1:18" ht="15">
      <c r="A190" s="196"/>
      <c r="B190" s="197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</row>
    <row r="191" spans="1:18" ht="15">
      <c r="A191" s="196"/>
      <c r="B191" s="197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</row>
    <row r="192" spans="1:18" ht="15">
      <c r="A192" s="196"/>
      <c r="B192" s="197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</row>
    <row r="193" spans="1:18" ht="15">
      <c r="A193" s="196"/>
      <c r="B193" s="197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</row>
    <row r="194" spans="1:18" ht="15">
      <c r="A194" s="196"/>
      <c r="B194" s="197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</row>
    <row r="195" spans="1:18" ht="15">
      <c r="A195" s="196"/>
      <c r="B195" s="197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</row>
    <row r="196" spans="1:18" ht="15">
      <c r="A196" s="196"/>
      <c r="B196" s="197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</row>
    <row r="197" spans="1:18" ht="15">
      <c r="A197" s="196"/>
      <c r="B197" s="19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</row>
    <row r="198" spans="1:18" ht="15">
      <c r="A198" s="196"/>
      <c r="B198" s="197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</row>
    <row r="199" spans="1:18" ht="15">
      <c r="A199" s="196"/>
      <c r="B199" s="197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</row>
    <row r="200" spans="1:18" ht="15">
      <c r="A200" s="196"/>
      <c r="B200" s="197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</row>
    <row r="201" spans="1:18" ht="15">
      <c r="A201" s="196"/>
      <c r="B201" s="197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</row>
    <row r="202" spans="1:18" ht="15">
      <c r="A202" s="196"/>
      <c r="B202" s="197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</row>
    <row r="203" spans="1:18" ht="15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</row>
    <row r="204" spans="1:18" ht="15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</row>
    <row r="205" spans="1:18" ht="15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</row>
    <row r="206" spans="1:18" ht="15">
      <c r="A206" s="196"/>
      <c r="B206" s="197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</row>
    <row r="207" spans="1:18" ht="15">
      <c r="A207" s="196"/>
      <c r="B207" s="197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</row>
    <row r="208" spans="1:18" ht="15">
      <c r="A208" s="196"/>
      <c r="B208" s="197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</row>
    <row r="209" spans="1:18" ht="15">
      <c r="A209" s="196"/>
      <c r="B209" s="197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</row>
    <row r="210" spans="1:18" ht="15">
      <c r="A210" s="196"/>
      <c r="B210" s="197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</row>
    <row r="211" spans="1:18" ht="15">
      <c r="A211" s="196"/>
      <c r="B211" s="197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</row>
    <row r="212" spans="1:18" ht="15">
      <c r="A212" s="196"/>
      <c r="B212" s="197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</row>
    <row r="213" spans="1:18" ht="15">
      <c r="A213" s="196"/>
      <c r="B213" s="197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</row>
  </sheetData>
  <autoFilter ref="A7:M7" xr:uid="{FA4E9D08-010F-4234-B7FF-2CD2F2B394E2}"/>
  <mergeCells count="8">
    <mergeCell ref="K4:L4"/>
    <mergeCell ref="M4:M5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0713-C8E1-4D4F-AA67-78FECCD7188C}">
  <sheetPr>
    <tabColor rgb="FFFFFF00"/>
  </sheetPr>
  <dimension ref="A1:R286"/>
  <sheetViews>
    <sheetView showGridLines="0" workbookViewId="0">
      <selection activeCell="M237" sqref="M237"/>
    </sheetView>
  </sheetViews>
  <sheetFormatPr defaultRowHeight="12.75"/>
  <cols>
    <col min="1" max="1" width="4.140625" style="234" customWidth="1"/>
    <col min="2" max="2" width="9.28515625" style="235" customWidth="1"/>
    <col min="3" max="3" width="39.7109375" style="199" customWidth="1"/>
    <col min="4" max="6" width="8.85546875" style="199"/>
    <col min="7" max="7" width="9.85546875" style="199" customWidth="1"/>
    <col min="8" max="8" width="11.42578125" style="199" bestFit="1" customWidth="1"/>
    <col min="9" max="9" width="10.85546875" style="199" customWidth="1"/>
    <col min="10" max="10" width="8.85546875" style="199"/>
    <col min="11" max="11" width="10.7109375" style="199" customWidth="1"/>
    <col min="12" max="12" width="10.42578125" style="199" bestFit="1" customWidth="1"/>
    <col min="13" max="13" width="13.28515625" style="199" customWidth="1"/>
    <col min="14" max="255" width="8.85546875" style="199"/>
    <col min="256" max="256" width="4.140625" style="199" customWidth="1"/>
    <col min="257" max="257" width="9.28515625" style="199" customWidth="1"/>
    <col min="258" max="258" width="39.7109375" style="199" customWidth="1"/>
    <col min="259" max="261" width="8.85546875" style="199"/>
    <col min="262" max="262" width="9.85546875" style="199" customWidth="1"/>
    <col min="263" max="263" width="11.42578125" style="199" bestFit="1" customWidth="1"/>
    <col min="264" max="264" width="10.85546875" style="199" customWidth="1"/>
    <col min="265" max="265" width="8.85546875" style="199"/>
    <col min="266" max="266" width="10.7109375" style="199" customWidth="1"/>
    <col min="267" max="267" width="10.42578125" style="199" bestFit="1" customWidth="1"/>
    <col min="268" max="268" width="10.28515625" style="199" customWidth="1"/>
    <col min="269" max="269" width="11.42578125" style="199" bestFit="1" customWidth="1"/>
    <col min="270" max="511" width="8.85546875" style="199"/>
    <col min="512" max="512" width="4.140625" style="199" customWidth="1"/>
    <col min="513" max="513" width="9.28515625" style="199" customWidth="1"/>
    <col min="514" max="514" width="39.7109375" style="199" customWidth="1"/>
    <col min="515" max="517" width="8.85546875" style="199"/>
    <col min="518" max="518" width="9.85546875" style="199" customWidth="1"/>
    <col min="519" max="519" width="11.42578125" style="199" bestFit="1" customWidth="1"/>
    <col min="520" max="520" width="10.85546875" style="199" customWidth="1"/>
    <col min="521" max="521" width="8.85546875" style="199"/>
    <col min="522" max="522" width="10.7109375" style="199" customWidth="1"/>
    <col min="523" max="523" width="10.42578125" style="199" bestFit="1" customWidth="1"/>
    <col min="524" max="524" width="10.28515625" style="199" customWidth="1"/>
    <col min="525" max="525" width="11.42578125" style="199" bestFit="1" customWidth="1"/>
    <col min="526" max="767" width="8.85546875" style="199"/>
    <col min="768" max="768" width="4.140625" style="199" customWidth="1"/>
    <col min="769" max="769" width="9.28515625" style="199" customWidth="1"/>
    <col min="770" max="770" width="39.7109375" style="199" customWidth="1"/>
    <col min="771" max="773" width="8.85546875" style="199"/>
    <col min="774" max="774" width="9.85546875" style="199" customWidth="1"/>
    <col min="775" max="775" width="11.42578125" style="199" bestFit="1" customWidth="1"/>
    <col min="776" max="776" width="10.85546875" style="199" customWidth="1"/>
    <col min="777" max="777" width="8.85546875" style="199"/>
    <col min="778" max="778" width="10.7109375" style="199" customWidth="1"/>
    <col min="779" max="779" width="10.42578125" style="199" bestFit="1" customWidth="1"/>
    <col min="780" max="780" width="10.28515625" style="199" customWidth="1"/>
    <col min="781" max="781" width="11.42578125" style="199" bestFit="1" customWidth="1"/>
    <col min="782" max="1023" width="8.85546875" style="199"/>
    <col min="1024" max="1024" width="4.140625" style="199" customWidth="1"/>
    <col min="1025" max="1025" width="9.28515625" style="199" customWidth="1"/>
    <col min="1026" max="1026" width="39.7109375" style="199" customWidth="1"/>
    <col min="1027" max="1029" width="8.85546875" style="199"/>
    <col min="1030" max="1030" width="9.85546875" style="199" customWidth="1"/>
    <col min="1031" max="1031" width="11.42578125" style="199" bestFit="1" customWidth="1"/>
    <col min="1032" max="1032" width="10.85546875" style="199" customWidth="1"/>
    <col min="1033" max="1033" width="8.85546875" style="199"/>
    <col min="1034" max="1034" width="10.7109375" style="199" customWidth="1"/>
    <col min="1035" max="1035" width="10.42578125" style="199" bestFit="1" customWidth="1"/>
    <col min="1036" max="1036" width="10.28515625" style="199" customWidth="1"/>
    <col min="1037" max="1037" width="11.42578125" style="199" bestFit="1" customWidth="1"/>
    <col min="1038" max="1279" width="8.85546875" style="199"/>
    <col min="1280" max="1280" width="4.140625" style="199" customWidth="1"/>
    <col min="1281" max="1281" width="9.28515625" style="199" customWidth="1"/>
    <col min="1282" max="1282" width="39.7109375" style="199" customWidth="1"/>
    <col min="1283" max="1285" width="8.85546875" style="199"/>
    <col min="1286" max="1286" width="9.85546875" style="199" customWidth="1"/>
    <col min="1287" max="1287" width="11.42578125" style="199" bestFit="1" customWidth="1"/>
    <col min="1288" max="1288" width="10.85546875" style="199" customWidth="1"/>
    <col min="1289" max="1289" width="8.85546875" style="199"/>
    <col min="1290" max="1290" width="10.7109375" style="199" customWidth="1"/>
    <col min="1291" max="1291" width="10.42578125" style="199" bestFit="1" customWidth="1"/>
    <col min="1292" max="1292" width="10.28515625" style="199" customWidth="1"/>
    <col min="1293" max="1293" width="11.42578125" style="199" bestFit="1" customWidth="1"/>
    <col min="1294" max="1535" width="8.85546875" style="199"/>
    <col min="1536" max="1536" width="4.140625" style="199" customWidth="1"/>
    <col min="1537" max="1537" width="9.28515625" style="199" customWidth="1"/>
    <col min="1538" max="1538" width="39.7109375" style="199" customWidth="1"/>
    <col min="1539" max="1541" width="8.85546875" style="199"/>
    <col min="1542" max="1542" width="9.85546875" style="199" customWidth="1"/>
    <col min="1543" max="1543" width="11.42578125" style="199" bestFit="1" customWidth="1"/>
    <col min="1544" max="1544" width="10.85546875" style="199" customWidth="1"/>
    <col min="1545" max="1545" width="8.85546875" style="199"/>
    <col min="1546" max="1546" width="10.7109375" style="199" customWidth="1"/>
    <col min="1547" max="1547" width="10.42578125" style="199" bestFit="1" customWidth="1"/>
    <col min="1548" max="1548" width="10.28515625" style="199" customWidth="1"/>
    <col min="1549" max="1549" width="11.42578125" style="199" bestFit="1" customWidth="1"/>
    <col min="1550" max="1791" width="8.85546875" style="199"/>
    <col min="1792" max="1792" width="4.140625" style="199" customWidth="1"/>
    <col min="1793" max="1793" width="9.28515625" style="199" customWidth="1"/>
    <col min="1794" max="1794" width="39.7109375" style="199" customWidth="1"/>
    <col min="1795" max="1797" width="8.85546875" style="199"/>
    <col min="1798" max="1798" width="9.85546875" style="199" customWidth="1"/>
    <col min="1799" max="1799" width="11.42578125" style="199" bestFit="1" customWidth="1"/>
    <col min="1800" max="1800" width="10.85546875" style="199" customWidth="1"/>
    <col min="1801" max="1801" width="8.85546875" style="199"/>
    <col min="1802" max="1802" width="10.7109375" style="199" customWidth="1"/>
    <col min="1803" max="1803" width="10.42578125" style="199" bestFit="1" customWidth="1"/>
    <col min="1804" max="1804" width="10.28515625" style="199" customWidth="1"/>
    <col min="1805" max="1805" width="11.42578125" style="199" bestFit="1" customWidth="1"/>
    <col min="1806" max="2047" width="8.85546875" style="199"/>
    <col min="2048" max="2048" width="4.140625" style="199" customWidth="1"/>
    <col min="2049" max="2049" width="9.28515625" style="199" customWidth="1"/>
    <col min="2050" max="2050" width="39.7109375" style="199" customWidth="1"/>
    <col min="2051" max="2053" width="8.85546875" style="199"/>
    <col min="2054" max="2054" width="9.85546875" style="199" customWidth="1"/>
    <col min="2055" max="2055" width="11.42578125" style="199" bestFit="1" customWidth="1"/>
    <col min="2056" max="2056" width="10.85546875" style="199" customWidth="1"/>
    <col min="2057" max="2057" width="8.85546875" style="199"/>
    <col min="2058" max="2058" width="10.7109375" style="199" customWidth="1"/>
    <col min="2059" max="2059" width="10.42578125" style="199" bestFit="1" customWidth="1"/>
    <col min="2060" max="2060" width="10.28515625" style="199" customWidth="1"/>
    <col min="2061" max="2061" width="11.42578125" style="199" bestFit="1" customWidth="1"/>
    <col min="2062" max="2303" width="8.85546875" style="199"/>
    <col min="2304" max="2304" width="4.140625" style="199" customWidth="1"/>
    <col min="2305" max="2305" width="9.28515625" style="199" customWidth="1"/>
    <col min="2306" max="2306" width="39.7109375" style="199" customWidth="1"/>
    <col min="2307" max="2309" width="8.85546875" style="199"/>
    <col min="2310" max="2310" width="9.85546875" style="199" customWidth="1"/>
    <col min="2311" max="2311" width="11.42578125" style="199" bestFit="1" customWidth="1"/>
    <col min="2312" max="2312" width="10.85546875" style="199" customWidth="1"/>
    <col min="2313" max="2313" width="8.85546875" style="199"/>
    <col min="2314" max="2314" width="10.7109375" style="199" customWidth="1"/>
    <col min="2315" max="2315" width="10.42578125" style="199" bestFit="1" customWidth="1"/>
    <col min="2316" max="2316" width="10.28515625" style="199" customWidth="1"/>
    <col min="2317" max="2317" width="11.42578125" style="199" bestFit="1" customWidth="1"/>
    <col min="2318" max="2559" width="8.85546875" style="199"/>
    <col min="2560" max="2560" width="4.140625" style="199" customWidth="1"/>
    <col min="2561" max="2561" width="9.28515625" style="199" customWidth="1"/>
    <col min="2562" max="2562" width="39.7109375" style="199" customWidth="1"/>
    <col min="2563" max="2565" width="8.85546875" style="199"/>
    <col min="2566" max="2566" width="9.85546875" style="199" customWidth="1"/>
    <col min="2567" max="2567" width="11.42578125" style="199" bestFit="1" customWidth="1"/>
    <col min="2568" max="2568" width="10.85546875" style="199" customWidth="1"/>
    <col min="2569" max="2569" width="8.85546875" style="199"/>
    <col min="2570" max="2570" width="10.7109375" style="199" customWidth="1"/>
    <col min="2571" max="2571" width="10.42578125" style="199" bestFit="1" customWidth="1"/>
    <col min="2572" max="2572" width="10.28515625" style="199" customWidth="1"/>
    <col min="2573" max="2573" width="11.42578125" style="199" bestFit="1" customWidth="1"/>
    <col min="2574" max="2815" width="8.85546875" style="199"/>
    <col min="2816" max="2816" width="4.140625" style="199" customWidth="1"/>
    <col min="2817" max="2817" width="9.28515625" style="199" customWidth="1"/>
    <col min="2818" max="2818" width="39.7109375" style="199" customWidth="1"/>
    <col min="2819" max="2821" width="8.85546875" style="199"/>
    <col min="2822" max="2822" width="9.85546875" style="199" customWidth="1"/>
    <col min="2823" max="2823" width="11.42578125" style="199" bestFit="1" customWidth="1"/>
    <col min="2824" max="2824" width="10.85546875" style="199" customWidth="1"/>
    <col min="2825" max="2825" width="8.85546875" style="199"/>
    <col min="2826" max="2826" width="10.7109375" style="199" customWidth="1"/>
    <col min="2827" max="2827" width="10.42578125" style="199" bestFit="1" customWidth="1"/>
    <col min="2828" max="2828" width="10.28515625" style="199" customWidth="1"/>
    <col min="2829" max="2829" width="11.42578125" style="199" bestFit="1" customWidth="1"/>
    <col min="2830" max="3071" width="8.85546875" style="199"/>
    <col min="3072" max="3072" width="4.140625" style="199" customWidth="1"/>
    <col min="3073" max="3073" width="9.28515625" style="199" customWidth="1"/>
    <col min="3074" max="3074" width="39.7109375" style="199" customWidth="1"/>
    <col min="3075" max="3077" width="8.85546875" style="199"/>
    <col min="3078" max="3078" width="9.85546875" style="199" customWidth="1"/>
    <col min="3079" max="3079" width="11.42578125" style="199" bestFit="1" customWidth="1"/>
    <col min="3080" max="3080" width="10.85546875" style="199" customWidth="1"/>
    <col min="3081" max="3081" width="8.85546875" style="199"/>
    <col min="3082" max="3082" width="10.7109375" style="199" customWidth="1"/>
    <col min="3083" max="3083" width="10.42578125" style="199" bestFit="1" customWidth="1"/>
    <col min="3084" max="3084" width="10.28515625" style="199" customWidth="1"/>
    <col min="3085" max="3085" width="11.42578125" style="199" bestFit="1" customWidth="1"/>
    <col min="3086" max="3327" width="8.85546875" style="199"/>
    <col min="3328" max="3328" width="4.140625" style="199" customWidth="1"/>
    <col min="3329" max="3329" width="9.28515625" style="199" customWidth="1"/>
    <col min="3330" max="3330" width="39.7109375" style="199" customWidth="1"/>
    <col min="3331" max="3333" width="8.85546875" style="199"/>
    <col min="3334" max="3334" width="9.85546875" style="199" customWidth="1"/>
    <col min="3335" max="3335" width="11.42578125" style="199" bestFit="1" customWidth="1"/>
    <col min="3336" max="3336" width="10.85546875" style="199" customWidth="1"/>
    <col min="3337" max="3337" width="8.85546875" style="199"/>
    <col min="3338" max="3338" width="10.7109375" style="199" customWidth="1"/>
    <col min="3339" max="3339" width="10.42578125" style="199" bestFit="1" customWidth="1"/>
    <col min="3340" max="3340" width="10.28515625" style="199" customWidth="1"/>
    <col min="3341" max="3341" width="11.42578125" style="199" bestFit="1" customWidth="1"/>
    <col min="3342" max="3583" width="8.85546875" style="199"/>
    <col min="3584" max="3584" width="4.140625" style="199" customWidth="1"/>
    <col min="3585" max="3585" width="9.28515625" style="199" customWidth="1"/>
    <col min="3586" max="3586" width="39.7109375" style="199" customWidth="1"/>
    <col min="3587" max="3589" width="8.85546875" style="199"/>
    <col min="3590" max="3590" width="9.85546875" style="199" customWidth="1"/>
    <col min="3591" max="3591" width="11.42578125" style="199" bestFit="1" customWidth="1"/>
    <col min="3592" max="3592" width="10.85546875" style="199" customWidth="1"/>
    <col min="3593" max="3593" width="8.85546875" style="199"/>
    <col min="3594" max="3594" width="10.7109375" style="199" customWidth="1"/>
    <col min="3595" max="3595" width="10.42578125" style="199" bestFit="1" customWidth="1"/>
    <col min="3596" max="3596" width="10.28515625" style="199" customWidth="1"/>
    <col min="3597" max="3597" width="11.42578125" style="199" bestFit="1" customWidth="1"/>
    <col min="3598" max="3839" width="8.85546875" style="199"/>
    <col min="3840" max="3840" width="4.140625" style="199" customWidth="1"/>
    <col min="3841" max="3841" width="9.28515625" style="199" customWidth="1"/>
    <col min="3842" max="3842" width="39.7109375" style="199" customWidth="1"/>
    <col min="3843" max="3845" width="8.85546875" style="199"/>
    <col min="3846" max="3846" width="9.85546875" style="199" customWidth="1"/>
    <col min="3847" max="3847" width="11.42578125" style="199" bestFit="1" customWidth="1"/>
    <col min="3848" max="3848" width="10.85546875" style="199" customWidth="1"/>
    <col min="3849" max="3849" width="8.85546875" style="199"/>
    <col min="3850" max="3850" width="10.7109375" style="199" customWidth="1"/>
    <col min="3851" max="3851" width="10.42578125" style="199" bestFit="1" customWidth="1"/>
    <col min="3852" max="3852" width="10.28515625" style="199" customWidth="1"/>
    <col min="3853" max="3853" width="11.42578125" style="199" bestFit="1" customWidth="1"/>
    <col min="3854" max="4095" width="8.85546875" style="199"/>
    <col min="4096" max="4096" width="4.140625" style="199" customWidth="1"/>
    <col min="4097" max="4097" width="9.28515625" style="199" customWidth="1"/>
    <col min="4098" max="4098" width="39.7109375" style="199" customWidth="1"/>
    <col min="4099" max="4101" width="8.85546875" style="199"/>
    <col min="4102" max="4102" width="9.85546875" style="199" customWidth="1"/>
    <col min="4103" max="4103" width="11.42578125" style="199" bestFit="1" customWidth="1"/>
    <col min="4104" max="4104" width="10.85546875" style="199" customWidth="1"/>
    <col min="4105" max="4105" width="8.85546875" style="199"/>
    <col min="4106" max="4106" width="10.7109375" style="199" customWidth="1"/>
    <col min="4107" max="4107" width="10.42578125" style="199" bestFit="1" customWidth="1"/>
    <col min="4108" max="4108" width="10.28515625" style="199" customWidth="1"/>
    <col min="4109" max="4109" width="11.42578125" style="199" bestFit="1" customWidth="1"/>
    <col min="4110" max="4351" width="8.85546875" style="199"/>
    <col min="4352" max="4352" width="4.140625" style="199" customWidth="1"/>
    <col min="4353" max="4353" width="9.28515625" style="199" customWidth="1"/>
    <col min="4354" max="4354" width="39.7109375" style="199" customWidth="1"/>
    <col min="4355" max="4357" width="8.85546875" style="199"/>
    <col min="4358" max="4358" width="9.85546875" style="199" customWidth="1"/>
    <col min="4359" max="4359" width="11.42578125" style="199" bestFit="1" customWidth="1"/>
    <col min="4360" max="4360" width="10.85546875" style="199" customWidth="1"/>
    <col min="4361" max="4361" width="8.85546875" style="199"/>
    <col min="4362" max="4362" width="10.7109375" style="199" customWidth="1"/>
    <col min="4363" max="4363" width="10.42578125" style="199" bestFit="1" customWidth="1"/>
    <col min="4364" max="4364" width="10.28515625" style="199" customWidth="1"/>
    <col min="4365" max="4365" width="11.42578125" style="199" bestFit="1" customWidth="1"/>
    <col min="4366" max="4607" width="8.85546875" style="199"/>
    <col min="4608" max="4608" width="4.140625" style="199" customWidth="1"/>
    <col min="4609" max="4609" width="9.28515625" style="199" customWidth="1"/>
    <col min="4610" max="4610" width="39.7109375" style="199" customWidth="1"/>
    <col min="4611" max="4613" width="8.85546875" style="199"/>
    <col min="4614" max="4614" width="9.85546875" style="199" customWidth="1"/>
    <col min="4615" max="4615" width="11.42578125" style="199" bestFit="1" customWidth="1"/>
    <col min="4616" max="4616" width="10.85546875" style="199" customWidth="1"/>
    <col min="4617" max="4617" width="8.85546875" style="199"/>
    <col min="4618" max="4618" width="10.7109375" style="199" customWidth="1"/>
    <col min="4619" max="4619" width="10.42578125" style="199" bestFit="1" customWidth="1"/>
    <col min="4620" max="4620" width="10.28515625" style="199" customWidth="1"/>
    <col min="4621" max="4621" width="11.42578125" style="199" bestFit="1" customWidth="1"/>
    <col min="4622" max="4863" width="8.85546875" style="199"/>
    <col min="4864" max="4864" width="4.140625" style="199" customWidth="1"/>
    <col min="4865" max="4865" width="9.28515625" style="199" customWidth="1"/>
    <col min="4866" max="4866" width="39.7109375" style="199" customWidth="1"/>
    <col min="4867" max="4869" width="8.85546875" style="199"/>
    <col min="4870" max="4870" width="9.85546875" style="199" customWidth="1"/>
    <col min="4871" max="4871" width="11.42578125" style="199" bestFit="1" customWidth="1"/>
    <col min="4872" max="4872" width="10.85546875" style="199" customWidth="1"/>
    <col min="4873" max="4873" width="8.85546875" style="199"/>
    <col min="4874" max="4874" width="10.7109375" style="199" customWidth="1"/>
    <col min="4875" max="4875" width="10.42578125" style="199" bestFit="1" customWidth="1"/>
    <col min="4876" max="4876" width="10.28515625" style="199" customWidth="1"/>
    <col min="4877" max="4877" width="11.42578125" style="199" bestFit="1" customWidth="1"/>
    <col min="4878" max="5119" width="8.85546875" style="199"/>
    <col min="5120" max="5120" width="4.140625" style="199" customWidth="1"/>
    <col min="5121" max="5121" width="9.28515625" style="199" customWidth="1"/>
    <col min="5122" max="5122" width="39.7109375" style="199" customWidth="1"/>
    <col min="5123" max="5125" width="8.85546875" style="199"/>
    <col min="5126" max="5126" width="9.85546875" style="199" customWidth="1"/>
    <col min="5127" max="5127" width="11.42578125" style="199" bestFit="1" customWidth="1"/>
    <col min="5128" max="5128" width="10.85546875" style="199" customWidth="1"/>
    <col min="5129" max="5129" width="8.85546875" style="199"/>
    <col min="5130" max="5130" width="10.7109375" style="199" customWidth="1"/>
    <col min="5131" max="5131" width="10.42578125" style="199" bestFit="1" customWidth="1"/>
    <col min="5132" max="5132" width="10.28515625" style="199" customWidth="1"/>
    <col min="5133" max="5133" width="11.42578125" style="199" bestFit="1" customWidth="1"/>
    <col min="5134" max="5375" width="8.85546875" style="199"/>
    <col min="5376" max="5376" width="4.140625" style="199" customWidth="1"/>
    <col min="5377" max="5377" width="9.28515625" style="199" customWidth="1"/>
    <col min="5378" max="5378" width="39.7109375" style="199" customWidth="1"/>
    <col min="5379" max="5381" width="8.85546875" style="199"/>
    <col min="5382" max="5382" width="9.85546875" style="199" customWidth="1"/>
    <col min="5383" max="5383" width="11.42578125" style="199" bestFit="1" customWidth="1"/>
    <col min="5384" max="5384" width="10.85546875" style="199" customWidth="1"/>
    <col min="5385" max="5385" width="8.85546875" style="199"/>
    <col min="5386" max="5386" width="10.7109375" style="199" customWidth="1"/>
    <col min="5387" max="5387" width="10.42578125" style="199" bestFit="1" customWidth="1"/>
    <col min="5388" max="5388" width="10.28515625" style="199" customWidth="1"/>
    <col min="5389" max="5389" width="11.42578125" style="199" bestFit="1" customWidth="1"/>
    <col min="5390" max="5631" width="8.85546875" style="199"/>
    <col min="5632" max="5632" width="4.140625" style="199" customWidth="1"/>
    <col min="5633" max="5633" width="9.28515625" style="199" customWidth="1"/>
    <col min="5634" max="5634" width="39.7109375" style="199" customWidth="1"/>
    <col min="5635" max="5637" width="8.85546875" style="199"/>
    <col min="5638" max="5638" width="9.85546875" style="199" customWidth="1"/>
    <col min="5639" max="5639" width="11.42578125" style="199" bestFit="1" customWidth="1"/>
    <col min="5640" max="5640" width="10.85546875" style="199" customWidth="1"/>
    <col min="5641" max="5641" width="8.85546875" style="199"/>
    <col min="5642" max="5642" width="10.7109375" style="199" customWidth="1"/>
    <col min="5643" max="5643" width="10.42578125" style="199" bestFit="1" customWidth="1"/>
    <col min="5644" max="5644" width="10.28515625" style="199" customWidth="1"/>
    <col min="5645" max="5645" width="11.42578125" style="199" bestFit="1" customWidth="1"/>
    <col min="5646" max="5887" width="8.85546875" style="199"/>
    <col min="5888" max="5888" width="4.140625" style="199" customWidth="1"/>
    <col min="5889" max="5889" width="9.28515625" style="199" customWidth="1"/>
    <col min="5890" max="5890" width="39.7109375" style="199" customWidth="1"/>
    <col min="5891" max="5893" width="8.85546875" style="199"/>
    <col min="5894" max="5894" width="9.85546875" style="199" customWidth="1"/>
    <col min="5895" max="5895" width="11.42578125" style="199" bestFit="1" customWidth="1"/>
    <col min="5896" max="5896" width="10.85546875" style="199" customWidth="1"/>
    <col min="5897" max="5897" width="8.85546875" style="199"/>
    <col min="5898" max="5898" width="10.7109375" style="199" customWidth="1"/>
    <col min="5899" max="5899" width="10.42578125" style="199" bestFit="1" customWidth="1"/>
    <col min="5900" max="5900" width="10.28515625" style="199" customWidth="1"/>
    <col min="5901" max="5901" width="11.42578125" style="199" bestFit="1" customWidth="1"/>
    <col min="5902" max="6143" width="8.85546875" style="199"/>
    <col min="6144" max="6144" width="4.140625" style="199" customWidth="1"/>
    <col min="6145" max="6145" width="9.28515625" style="199" customWidth="1"/>
    <col min="6146" max="6146" width="39.7109375" style="199" customWidth="1"/>
    <col min="6147" max="6149" width="8.85546875" style="199"/>
    <col min="6150" max="6150" width="9.85546875" style="199" customWidth="1"/>
    <col min="6151" max="6151" width="11.42578125" style="199" bestFit="1" customWidth="1"/>
    <col min="6152" max="6152" width="10.85546875" style="199" customWidth="1"/>
    <col min="6153" max="6153" width="8.85546875" style="199"/>
    <col min="6154" max="6154" width="10.7109375" style="199" customWidth="1"/>
    <col min="6155" max="6155" width="10.42578125" style="199" bestFit="1" customWidth="1"/>
    <col min="6156" max="6156" width="10.28515625" style="199" customWidth="1"/>
    <col min="6157" max="6157" width="11.42578125" style="199" bestFit="1" customWidth="1"/>
    <col min="6158" max="6399" width="8.85546875" style="199"/>
    <col min="6400" max="6400" width="4.140625" style="199" customWidth="1"/>
    <col min="6401" max="6401" width="9.28515625" style="199" customWidth="1"/>
    <col min="6402" max="6402" width="39.7109375" style="199" customWidth="1"/>
    <col min="6403" max="6405" width="8.85546875" style="199"/>
    <col min="6406" max="6406" width="9.85546875" style="199" customWidth="1"/>
    <col min="6407" max="6407" width="11.42578125" style="199" bestFit="1" customWidth="1"/>
    <col min="6408" max="6408" width="10.85546875" style="199" customWidth="1"/>
    <col min="6409" max="6409" width="8.85546875" style="199"/>
    <col min="6410" max="6410" width="10.7109375" style="199" customWidth="1"/>
    <col min="6411" max="6411" width="10.42578125" style="199" bestFit="1" customWidth="1"/>
    <col min="6412" max="6412" width="10.28515625" style="199" customWidth="1"/>
    <col min="6413" max="6413" width="11.42578125" style="199" bestFit="1" customWidth="1"/>
    <col min="6414" max="6655" width="8.85546875" style="199"/>
    <col min="6656" max="6656" width="4.140625" style="199" customWidth="1"/>
    <col min="6657" max="6657" width="9.28515625" style="199" customWidth="1"/>
    <col min="6658" max="6658" width="39.7109375" style="199" customWidth="1"/>
    <col min="6659" max="6661" width="8.85546875" style="199"/>
    <col min="6662" max="6662" width="9.85546875" style="199" customWidth="1"/>
    <col min="6663" max="6663" width="11.42578125" style="199" bestFit="1" customWidth="1"/>
    <col min="6664" max="6664" width="10.85546875" style="199" customWidth="1"/>
    <col min="6665" max="6665" width="8.85546875" style="199"/>
    <col min="6666" max="6666" width="10.7109375" style="199" customWidth="1"/>
    <col min="6667" max="6667" width="10.42578125" style="199" bestFit="1" customWidth="1"/>
    <col min="6668" max="6668" width="10.28515625" style="199" customWidth="1"/>
    <col min="6669" max="6669" width="11.42578125" style="199" bestFit="1" customWidth="1"/>
    <col min="6670" max="6911" width="8.85546875" style="199"/>
    <col min="6912" max="6912" width="4.140625" style="199" customWidth="1"/>
    <col min="6913" max="6913" width="9.28515625" style="199" customWidth="1"/>
    <col min="6914" max="6914" width="39.7109375" style="199" customWidth="1"/>
    <col min="6915" max="6917" width="8.85546875" style="199"/>
    <col min="6918" max="6918" width="9.85546875" style="199" customWidth="1"/>
    <col min="6919" max="6919" width="11.42578125" style="199" bestFit="1" customWidth="1"/>
    <col min="6920" max="6920" width="10.85546875" style="199" customWidth="1"/>
    <col min="6921" max="6921" width="8.85546875" style="199"/>
    <col min="6922" max="6922" width="10.7109375" style="199" customWidth="1"/>
    <col min="6923" max="6923" width="10.42578125" style="199" bestFit="1" customWidth="1"/>
    <col min="6924" max="6924" width="10.28515625" style="199" customWidth="1"/>
    <col min="6925" max="6925" width="11.42578125" style="199" bestFit="1" customWidth="1"/>
    <col min="6926" max="7167" width="8.85546875" style="199"/>
    <col min="7168" max="7168" width="4.140625" style="199" customWidth="1"/>
    <col min="7169" max="7169" width="9.28515625" style="199" customWidth="1"/>
    <col min="7170" max="7170" width="39.7109375" style="199" customWidth="1"/>
    <col min="7171" max="7173" width="8.85546875" style="199"/>
    <col min="7174" max="7174" width="9.85546875" style="199" customWidth="1"/>
    <col min="7175" max="7175" width="11.42578125" style="199" bestFit="1" customWidth="1"/>
    <col min="7176" max="7176" width="10.85546875" style="199" customWidth="1"/>
    <col min="7177" max="7177" width="8.85546875" style="199"/>
    <col min="7178" max="7178" width="10.7109375" style="199" customWidth="1"/>
    <col min="7179" max="7179" width="10.42578125" style="199" bestFit="1" customWidth="1"/>
    <col min="7180" max="7180" width="10.28515625" style="199" customWidth="1"/>
    <col min="7181" max="7181" width="11.42578125" style="199" bestFit="1" customWidth="1"/>
    <col min="7182" max="7423" width="8.85546875" style="199"/>
    <col min="7424" max="7424" width="4.140625" style="199" customWidth="1"/>
    <col min="7425" max="7425" width="9.28515625" style="199" customWidth="1"/>
    <col min="7426" max="7426" width="39.7109375" style="199" customWidth="1"/>
    <col min="7427" max="7429" width="8.85546875" style="199"/>
    <col min="7430" max="7430" width="9.85546875" style="199" customWidth="1"/>
    <col min="7431" max="7431" width="11.42578125" style="199" bestFit="1" customWidth="1"/>
    <col min="7432" max="7432" width="10.85546875" style="199" customWidth="1"/>
    <col min="7433" max="7433" width="8.85546875" style="199"/>
    <col min="7434" max="7434" width="10.7109375" style="199" customWidth="1"/>
    <col min="7435" max="7435" width="10.42578125" style="199" bestFit="1" customWidth="1"/>
    <col min="7436" max="7436" width="10.28515625" style="199" customWidth="1"/>
    <col min="7437" max="7437" width="11.42578125" style="199" bestFit="1" customWidth="1"/>
    <col min="7438" max="7679" width="8.85546875" style="199"/>
    <col min="7680" max="7680" width="4.140625" style="199" customWidth="1"/>
    <col min="7681" max="7681" width="9.28515625" style="199" customWidth="1"/>
    <col min="7682" max="7682" width="39.7109375" style="199" customWidth="1"/>
    <col min="7683" max="7685" width="8.85546875" style="199"/>
    <col min="7686" max="7686" width="9.85546875" style="199" customWidth="1"/>
    <col min="7687" max="7687" width="11.42578125" style="199" bestFit="1" customWidth="1"/>
    <col min="7688" max="7688" width="10.85546875" style="199" customWidth="1"/>
    <col min="7689" max="7689" width="8.85546875" style="199"/>
    <col min="7690" max="7690" width="10.7109375" style="199" customWidth="1"/>
    <col min="7691" max="7691" width="10.42578125" style="199" bestFit="1" customWidth="1"/>
    <col min="7692" max="7692" width="10.28515625" style="199" customWidth="1"/>
    <col min="7693" max="7693" width="11.42578125" style="199" bestFit="1" customWidth="1"/>
    <col min="7694" max="7935" width="8.85546875" style="199"/>
    <col min="7936" max="7936" width="4.140625" style="199" customWidth="1"/>
    <col min="7937" max="7937" width="9.28515625" style="199" customWidth="1"/>
    <col min="7938" max="7938" width="39.7109375" style="199" customWidth="1"/>
    <col min="7939" max="7941" width="8.85546875" style="199"/>
    <col min="7942" max="7942" width="9.85546875" style="199" customWidth="1"/>
    <col min="7943" max="7943" width="11.42578125" style="199" bestFit="1" customWidth="1"/>
    <col min="7944" max="7944" width="10.85546875" style="199" customWidth="1"/>
    <col min="7945" max="7945" width="8.85546875" style="199"/>
    <col min="7946" max="7946" width="10.7109375" style="199" customWidth="1"/>
    <col min="7947" max="7947" width="10.42578125" style="199" bestFit="1" customWidth="1"/>
    <col min="7948" max="7948" width="10.28515625" style="199" customWidth="1"/>
    <col min="7949" max="7949" width="11.42578125" style="199" bestFit="1" customWidth="1"/>
    <col min="7950" max="8191" width="8.85546875" style="199"/>
    <col min="8192" max="8192" width="4.140625" style="199" customWidth="1"/>
    <col min="8193" max="8193" width="9.28515625" style="199" customWidth="1"/>
    <col min="8194" max="8194" width="39.7109375" style="199" customWidth="1"/>
    <col min="8195" max="8197" width="8.85546875" style="199"/>
    <col min="8198" max="8198" width="9.85546875" style="199" customWidth="1"/>
    <col min="8199" max="8199" width="11.42578125" style="199" bestFit="1" customWidth="1"/>
    <col min="8200" max="8200" width="10.85546875" style="199" customWidth="1"/>
    <col min="8201" max="8201" width="8.85546875" style="199"/>
    <col min="8202" max="8202" width="10.7109375" style="199" customWidth="1"/>
    <col min="8203" max="8203" width="10.42578125" style="199" bestFit="1" customWidth="1"/>
    <col min="8204" max="8204" width="10.28515625" style="199" customWidth="1"/>
    <col min="8205" max="8205" width="11.42578125" style="199" bestFit="1" customWidth="1"/>
    <col min="8206" max="8447" width="8.85546875" style="199"/>
    <col min="8448" max="8448" width="4.140625" style="199" customWidth="1"/>
    <col min="8449" max="8449" width="9.28515625" style="199" customWidth="1"/>
    <col min="8450" max="8450" width="39.7109375" style="199" customWidth="1"/>
    <col min="8451" max="8453" width="8.85546875" style="199"/>
    <col min="8454" max="8454" width="9.85546875" style="199" customWidth="1"/>
    <col min="8455" max="8455" width="11.42578125" style="199" bestFit="1" customWidth="1"/>
    <col min="8456" max="8456" width="10.85546875" style="199" customWidth="1"/>
    <col min="8457" max="8457" width="8.85546875" style="199"/>
    <col min="8458" max="8458" width="10.7109375" style="199" customWidth="1"/>
    <col min="8459" max="8459" width="10.42578125" style="199" bestFit="1" customWidth="1"/>
    <col min="8460" max="8460" width="10.28515625" style="199" customWidth="1"/>
    <col min="8461" max="8461" width="11.42578125" style="199" bestFit="1" customWidth="1"/>
    <col min="8462" max="8703" width="8.85546875" style="199"/>
    <col min="8704" max="8704" width="4.140625" style="199" customWidth="1"/>
    <col min="8705" max="8705" width="9.28515625" style="199" customWidth="1"/>
    <col min="8706" max="8706" width="39.7109375" style="199" customWidth="1"/>
    <col min="8707" max="8709" width="8.85546875" style="199"/>
    <col min="8710" max="8710" width="9.85546875" style="199" customWidth="1"/>
    <col min="8711" max="8711" width="11.42578125" style="199" bestFit="1" customWidth="1"/>
    <col min="8712" max="8712" width="10.85546875" style="199" customWidth="1"/>
    <col min="8713" max="8713" width="8.85546875" style="199"/>
    <col min="8714" max="8714" width="10.7109375" style="199" customWidth="1"/>
    <col min="8715" max="8715" width="10.42578125" style="199" bestFit="1" customWidth="1"/>
    <col min="8716" max="8716" width="10.28515625" style="199" customWidth="1"/>
    <col min="8717" max="8717" width="11.42578125" style="199" bestFit="1" customWidth="1"/>
    <col min="8718" max="8959" width="8.85546875" style="199"/>
    <col min="8960" max="8960" width="4.140625" style="199" customWidth="1"/>
    <col min="8961" max="8961" width="9.28515625" style="199" customWidth="1"/>
    <col min="8962" max="8962" width="39.7109375" style="199" customWidth="1"/>
    <col min="8963" max="8965" width="8.85546875" style="199"/>
    <col min="8966" max="8966" width="9.85546875" style="199" customWidth="1"/>
    <col min="8967" max="8967" width="11.42578125" style="199" bestFit="1" customWidth="1"/>
    <col min="8968" max="8968" width="10.85546875" style="199" customWidth="1"/>
    <col min="8969" max="8969" width="8.85546875" style="199"/>
    <col min="8970" max="8970" width="10.7109375" style="199" customWidth="1"/>
    <col min="8971" max="8971" width="10.42578125" style="199" bestFit="1" customWidth="1"/>
    <col min="8972" max="8972" width="10.28515625" style="199" customWidth="1"/>
    <col min="8973" max="8973" width="11.42578125" style="199" bestFit="1" customWidth="1"/>
    <col min="8974" max="9215" width="8.85546875" style="199"/>
    <col min="9216" max="9216" width="4.140625" style="199" customWidth="1"/>
    <col min="9217" max="9217" width="9.28515625" style="199" customWidth="1"/>
    <col min="9218" max="9218" width="39.7109375" style="199" customWidth="1"/>
    <col min="9219" max="9221" width="8.85546875" style="199"/>
    <col min="9222" max="9222" width="9.85546875" style="199" customWidth="1"/>
    <col min="9223" max="9223" width="11.42578125" style="199" bestFit="1" customWidth="1"/>
    <col min="9224" max="9224" width="10.85546875" style="199" customWidth="1"/>
    <col min="9225" max="9225" width="8.85546875" style="199"/>
    <col min="9226" max="9226" width="10.7109375" style="199" customWidth="1"/>
    <col min="9227" max="9227" width="10.42578125" style="199" bestFit="1" customWidth="1"/>
    <col min="9228" max="9228" width="10.28515625" style="199" customWidth="1"/>
    <col min="9229" max="9229" width="11.42578125" style="199" bestFit="1" customWidth="1"/>
    <col min="9230" max="9471" width="8.85546875" style="199"/>
    <col min="9472" max="9472" width="4.140625" style="199" customWidth="1"/>
    <col min="9473" max="9473" width="9.28515625" style="199" customWidth="1"/>
    <col min="9474" max="9474" width="39.7109375" style="199" customWidth="1"/>
    <col min="9475" max="9477" width="8.85546875" style="199"/>
    <col min="9478" max="9478" width="9.85546875" style="199" customWidth="1"/>
    <col min="9479" max="9479" width="11.42578125" style="199" bestFit="1" customWidth="1"/>
    <col min="9480" max="9480" width="10.85546875" style="199" customWidth="1"/>
    <col min="9481" max="9481" width="8.85546875" style="199"/>
    <col min="9482" max="9482" width="10.7109375" style="199" customWidth="1"/>
    <col min="9483" max="9483" width="10.42578125" style="199" bestFit="1" customWidth="1"/>
    <col min="9484" max="9484" width="10.28515625" style="199" customWidth="1"/>
    <col min="9485" max="9485" width="11.42578125" style="199" bestFit="1" customWidth="1"/>
    <col min="9486" max="9727" width="8.85546875" style="199"/>
    <col min="9728" max="9728" width="4.140625" style="199" customWidth="1"/>
    <col min="9729" max="9729" width="9.28515625" style="199" customWidth="1"/>
    <col min="9730" max="9730" width="39.7109375" style="199" customWidth="1"/>
    <col min="9731" max="9733" width="8.85546875" style="199"/>
    <col min="9734" max="9734" width="9.85546875" style="199" customWidth="1"/>
    <col min="9735" max="9735" width="11.42578125" style="199" bestFit="1" customWidth="1"/>
    <col min="9736" max="9736" width="10.85546875" style="199" customWidth="1"/>
    <col min="9737" max="9737" width="8.85546875" style="199"/>
    <col min="9738" max="9738" width="10.7109375" style="199" customWidth="1"/>
    <col min="9739" max="9739" width="10.42578125" style="199" bestFit="1" customWidth="1"/>
    <col min="9740" max="9740" width="10.28515625" style="199" customWidth="1"/>
    <col min="9741" max="9741" width="11.42578125" style="199" bestFit="1" customWidth="1"/>
    <col min="9742" max="9983" width="8.85546875" style="199"/>
    <col min="9984" max="9984" width="4.140625" style="199" customWidth="1"/>
    <col min="9985" max="9985" width="9.28515625" style="199" customWidth="1"/>
    <col min="9986" max="9986" width="39.7109375" style="199" customWidth="1"/>
    <col min="9987" max="9989" width="8.85546875" style="199"/>
    <col min="9990" max="9990" width="9.85546875" style="199" customWidth="1"/>
    <col min="9991" max="9991" width="11.42578125" style="199" bestFit="1" customWidth="1"/>
    <col min="9992" max="9992" width="10.85546875" style="199" customWidth="1"/>
    <col min="9993" max="9993" width="8.85546875" style="199"/>
    <col min="9994" max="9994" width="10.7109375" style="199" customWidth="1"/>
    <col min="9995" max="9995" width="10.42578125" style="199" bestFit="1" customWidth="1"/>
    <col min="9996" max="9996" width="10.28515625" style="199" customWidth="1"/>
    <col min="9997" max="9997" width="11.42578125" style="199" bestFit="1" customWidth="1"/>
    <col min="9998" max="10239" width="8.85546875" style="199"/>
    <col min="10240" max="10240" width="4.140625" style="199" customWidth="1"/>
    <col min="10241" max="10241" width="9.28515625" style="199" customWidth="1"/>
    <col min="10242" max="10242" width="39.7109375" style="199" customWidth="1"/>
    <col min="10243" max="10245" width="8.85546875" style="199"/>
    <col min="10246" max="10246" width="9.85546875" style="199" customWidth="1"/>
    <col min="10247" max="10247" width="11.42578125" style="199" bestFit="1" customWidth="1"/>
    <col min="10248" max="10248" width="10.85546875" style="199" customWidth="1"/>
    <col min="10249" max="10249" width="8.85546875" style="199"/>
    <col min="10250" max="10250" width="10.7109375" style="199" customWidth="1"/>
    <col min="10251" max="10251" width="10.42578125" style="199" bestFit="1" customWidth="1"/>
    <col min="10252" max="10252" width="10.28515625" style="199" customWidth="1"/>
    <col min="10253" max="10253" width="11.42578125" style="199" bestFit="1" customWidth="1"/>
    <col min="10254" max="10495" width="8.85546875" style="199"/>
    <col min="10496" max="10496" width="4.140625" style="199" customWidth="1"/>
    <col min="10497" max="10497" width="9.28515625" style="199" customWidth="1"/>
    <col min="10498" max="10498" width="39.7109375" style="199" customWidth="1"/>
    <col min="10499" max="10501" width="8.85546875" style="199"/>
    <col min="10502" max="10502" width="9.85546875" style="199" customWidth="1"/>
    <col min="10503" max="10503" width="11.42578125" style="199" bestFit="1" customWidth="1"/>
    <col min="10504" max="10504" width="10.85546875" style="199" customWidth="1"/>
    <col min="10505" max="10505" width="8.85546875" style="199"/>
    <col min="10506" max="10506" width="10.7109375" style="199" customWidth="1"/>
    <col min="10507" max="10507" width="10.42578125" style="199" bestFit="1" customWidth="1"/>
    <col min="10508" max="10508" width="10.28515625" style="199" customWidth="1"/>
    <col min="10509" max="10509" width="11.42578125" style="199" bestFit="1" customWidth="1"/>
    <col min="10510" max="10751" width="8.85546875" style="199"/>
    <col min="10752" max="10752" width="4.140625" style="199" customWidth="1"/>
    <col min="10753" max="10753" width="9.28515625" style="199" customWidth="1"/>
    <col min="10754" max="10754" width="39.7109375" style="199" customWidth="1"/>
    <col min="10755" max="10757" width="8.85546875" style="199"/>
    <col min="10758" max="10758" width="9.85546875" style="199" customWidth="1"/>
    <col min="10759" max="10759" width="11.42578125" style="199" bestFit="1" customWidth="1"/>
    <col min="10760" max="10760" width="10.85546875" style="199" customWidth="1"/>
    <col min="10761" max="10761" width="8.85546875" style="199"/>
    <col min="10762" max="10762" width="10.7109375" style="199" customWidth="1"/>
    <col min="10763" max="10763" width="10.42578125" style="199" bestFit="1" customWidth="1"/>
    <col min="10764" max="10764" width="10.28515625" style="199" customWidth="1"/>
    <col min="10765" max="10765" width="11.42578125" style="199" bestFit="1" customWidth="1"/>
    <col min="10766" max="11007" width="8.85546875" style="199"/>
    <col min="11008" max="11008" width="4.140625" style="199" customWidth="1"/>
    <col min="11009" max="11009" width="9.28515625" style="199" customWidth="1"/>
    <col min="11010" max="11010" width="39.7109375" style="199" customWidth="1"/>
    <col min="11011" max="11013" width="8.85546875" style="199"/>
    <col min="11014" max="11014" width="9.85546875" style="199" customWidth="1"/>
    <col min="11015" max="11015" width="11.42578125" style="199" bestFit="1" customWidth="1"/>
    <col min="11016" max="11016" width="10.85546875" style="199" customWidth="1"/>
    <col min="11017" max="11017" width="8.85546875" style="199"/>
    <col min="11018" max="11018" width="10.7109375" style="199" customWidth="1"/>
    <col min="11019" max="11019" width="10.42578125" style="199" bestFit="1" customWidth="1"/>
    <col min="11020" max="11020" width="10.28515625" style="199" customWidth="1"/>
    <col min="11021" max="11021" width="11.42578125" style="199" bestFit="1" customWidth="1"/>
    <col min="11022" max="11263" width="8.85546875" style="199"/>
    <col min="11264" max="11264" width="4.140625" style="199" customWidth="1"/>
    <col min="11265" max="11265" width="9.28515625" style="199" customWidth="1"/>
    <col min="11266" max="11266" width="39.7109375" style="199" customWidth="1"/>
    <col min="11267" max="11269" width="8.85546875" style="199"/>
    <col min="11270" max="11270" width="9.85546875" style="199" customWidth="1"/>
    <col min="11271" max="11271" width="11.42578125" style="199" bestFit="1" customWidth="1"/>
    <col min="11272" max="11272" width="10.85546875" style="199" customWidth="1"/>
    <col min="11273" max="11273" width="8.85546875" style="199"/>
    <col min="11274" max="11274" width="10.7109375" style="199" customWidth="1"/>
    <col min="11275" max="11275" width="10.42578125" style="199" bestFit="1" customWidth="1"/>
    <col min="11276" max="11276" width="10.28515625" style="199" customWidth="1"/>
    <col min="11277" max="11277" width="11.42578125" style="199" bestFit="1" customWidth="1"/>
    <col min="11278" max="11519" width="8.85546875" style="199"/>
    <col min="11520" max="11520" width="4.140625" style="199" customWidth="1"/>
    <col min="11521" max="11521" width="9.28515625" style="199" customWidth="1"/>
    <col min="11522" max="11522" width="39.7109375" style="199" customWidth="1"/>
    <col min="11523" max="11525" width="8.85546875" style="199"/>
    <col min="11526" max="11526" width="9.85546875" style="199" customWidth="1"/>
    <col min="11527" max="11527" width="11.42578125" style="199" bestFit="1" customWidth="1"/>
    <col min="11528" max="11528" width="10.85546875" style="199" customWidth="1"/>
    <col min="11529" max="11529" width="8.85546875" style="199"/>
    <col min="11530" max="11530" width="10.7109375" style="199" customWidth="1"/>
    <col min="11531" max="11531" width="10.42578125" style="199" bestFit="1" customWidth="1"/>
    <col min="11532" max="11532" width="10.28515625" style="199" customWidth="1"/>
    <col min="11533" max="11533" width="11.42578125" style="199" bestFit="1" customWidth="1"/>
    <col min="11534" max="11775" width="8.85546875" style="199"/>
    <col min="11776" max="11776" width="4.140625" style="199" customWidth="1"/>
    <col min="11777" max="11777" width="9.28515625" style="199" customWidth="1"/>
    <col min="11778" max="11778" width="39.7109375" style="199" customWidth="1"/>
    <col min="11779" max="11781" width="8.85546875" style="199"/>
    <col min="11782" max="11782" width="9.85546875" style="199" customWidth="1"/>
    <col min="11783" max="11783" width="11.42578125" style="199" bestFit="1" customWidth="1"/>
    <col min="11784" max="11784" width="10.85546875" style="199" customWidth="1"/>
    <col min="11785" max="11785" width="8.85546875" style="199"/>
    <col min="11786" max="11786" width="10.7109375" style="199" customWidth="1"/>
    <col min="11787" max="11787" width="10.42578125" style="199" bestFit="1" customWidth="1"/>
    <col min="11788" max="11788" width="10.28515625" style="199" customWidth="1"/>
    <col min="11789" max="11789" width="11.42578125" style="199" bestFit="1" customWidth="1"/>
    <col min="11790" max="12031" width="8.85546875" style="199"/>
    <col min="12032" max="12032" width="4.140625" style="199" customWidth="1"/>
    <col min="12033" max="12033" width="9.28515625" style="199" customWidth="1"/>
    <col min="12034" max="12034" width="39.7109375" style="199" customWidth="1"/>
    <col min="12035" max="12037" width="8.85546875" style="199"/>
    <col min="12038" max="12038" width="9.85546875" style="199" customWidth="1"/>
    <col min="12039" max="12039" width="11.42578125" style="199" bestFit="1" customWidth="1"/>
    <col min="12040" max="12040" width="10.85546875" style="199" customWidth="1"/>
    <col min="12041" max="12041" width="8.85546875" style="199"/>
    <col min="12042" max="12042" width="10.7109375" style="199" customWidth="1"/>
    <col min="12043" max="12043" width="10.42578125" style="199" bestFit="1" customWidth="1"/>
    <col min="12044" max="12044" width="10.28515625" style="199" customWidth="1"/>
    <col min="12045" max="12045" width="11.42578125" style="199" bestFit="1" customWidth="1"/>
    <col min="12046" max="12287" width="8.85546875" style="199"/>
    <col min="12288" max="12288" width="4.140625" style="199" customWidth="1"/>
    <col min="12289" max="12289" width="9.28515625" style="199" customWidth="1"/>
    <col min="12290" max="12290" width="39.7109375" style="199" customWidth="1"/>
    <col min="12291" max="12293" width="8.85546875" style="199"/>
    <col min="12294" max="12294" width="9.85546875" style="199" customWidth="1"/>
    <col min="12295" max="12295" width="11.42578125" style="199" bestFit="1" customWidth="1"/>
    <col min="12296" max="12296" width="10.85546875" style="199" customWidth="1"/>
    <col min="12297" max="12297" width="8.85546875" style="199"/>
    <col min="12298" max="12298" width="10.7109375" style="199" customWidth="1"/>
    <col min="12299" max="12299" width="10.42578125" style="199" bestFit="1" customWidth="1"/>
    <col min="12300" max="12300" width="10.28515625" style="199" customWidth="1"/>
    <col min="12301" max="12301" width="11.42578125" style="199" bestFit="1" customWidth="1"/>
    <col min="12302" max="12543" width="8.85546875" style="199"/>
    <col min="12544" max="12544" width="4.140625" style="199" customWidth="1"/>
    <col min="12545" max="12545" width="9.28515625" style="199" customWidth="1"/>
    <col min="12546" max="12546" width="39.7109375" style="199" customWidth="1"/>
    <col min="12547" max="12549" width="8.85546875" style="199"/>
    <col min="12550" max="12550" width="9.85546875" style="199" customWidth="1"/>
    <col min="12551" max="12551" width="11.42578125" style="199" bestFit="1" customWidth="1"/>
    <col min="12552" max="12552" width="10.85546875" style="199" customWidth="1"/>
    <col min="12553" max="12553" width="8.85546875" style="199"/>
    <col min="12554" max="12554" width="10.7109375" style="199" customWidth="1"/>
    <col min="12555" max="12555" width="10.42578125" style="199" bestFit="1" customWidth="1"/>
    <col min="12556" max="12556" width="10.28515625" style="199" customWidth="1"/>
    <col min="12557" max="12557" width="11.42578125" style="199" bestFit="1" customWidth="1"/>
    <col min="12558" max="12799" width="8.85546875" style="199"/>
    <col min="12800" max="12800" width="4.140625" style="199" customWidth="1"/>
    <col min="12801" max="12801" width="9.28515625" style="199" customWidth="1"/>
    <col min="12802" max="12802" width="39.7109375" style="199" customWidth="1"/>
    <col min="12803" max="12805" width="8.85546875" style="199"/>
    <col min="12806" max="12806" width="9.85546875" style="199" customWidth="1"/>
    <col min="12807" max="12807" width="11.42578125" style="199" bestFit="1" customWidth="1"/>
    <col min="12808" max="12808" width="10.85546875" style="199" customWidth="1"/>
    <col min="12809" max="12809" width="8.85546875" style="199"/>
    <col min="12810" max="12810" width="10.7109375" style="199" customWidth="1"/>
    <col min="12811" max="12811" width="10.42578125" style="199" bestFit="1" customWidth="1"/>
    <col min="12812" max="12812" width="10.28515625" style="199" customWidth="1"/>
    <col min="12813" max="12813" width="11.42578125" style="199" bestFit="1" customWidth="1"/>
    <col min="12814" max="13055" width="8.85546875" style="199"/>
    <col min="13056" max="13056" width="4.140625" style="199" customWidth="1"/>
    <col min="13057" max="13057" width="9.28515625" style="199" customWidth="1"/>
    <col min="13058" max="13058" width="39.7109375" style="199" customWidth="1"/>
    <col min="13059" max="13061" width="8.85546875" style="199"/>
    <col min="13062" max="13062" width="9.85546875" style="199" customWidth="1"/>
    <col min="13063" max="13063" width="11.42578125" style="199" bestFit="1" customWidth="1"/>
    <col min="13064" max="13064" width="10.85546875" style="199" customWidth="1"/>
    <col min="13065" max="13065" width="8.85546875" style="199"/>
    <col min="13066" max="13066" width="10.7109375" style="199" customWidth="1"/>
    <col min="13067" max="13067" width="10.42578125" style="199" bestFit="1" customWidth="1"/>
    <col min="13068" max="13068" width="10.28515625" style="199" customWidth="1"/>
    <col min="13069" max="13069" width="11.42578125" style="199" bestFit="1" customWidth="1"/>
    <col min="13070" max="13311" width="8.85546875" style="199"/>
    <col min="13312" max="13312" width="4.140625" style="199" customWidth="1"/>
    <col min="13313" max="13313" width="9.28515625" style="199" customWidth="1"/>
    <col min="13314" max="13314" width="39.7109375" style="199" customWidth="1"/>
    <col min="13315" max="13317" width="8.85546875" style="199"/>
    <col min="13318" max="13318" width="9.85546875" style="199" customWidth="1"/>
    <col min="13319" max="13319" width="11.42578125" style="199" bestFit="1" customWidth="1"/>
    <col min="13320" max="13320" width="10.85546875" style="199" customWidth="1"/>
    <col min="13321" max="13321" width="8.85546875" style="199"/>
    <col min="13322" max="13322" width="10.7109375" style="199" customWidth="1"/>
    <col min="13323" max="13323" width="10.42578125" style="199" bestFit="1" customWidth="1"/>
    <col min="13324" max="13324" width="10.28515625" style="199" customWidth="1"/>
    <col min="13325" max="13325" width="11.42578125" style="199" bestFit="1" customWidth="1"/>
    <col min="13326" max="13567" width="8.85546875" style="199"/>
    <col min="13568" max="13568" width="4.140625" style="199" customWidth="1"/>
    <col min="13569" max="13569" width="9.28515625" style="199" customWidth="1"/>
    <col min="13570" max="13570" width="39.7109375" style="199" customWidth="1"/>
    <col min="13571" max="13573" width="8.85546875" style="199"/>
    <col min="13574" max="13574" width="9.85546875" style="199" customWidth="1"/>
    <col min="13575" max="13575" width="11.42578125" style="199" bestFit="1" customWidth="1"/>
    <col min="13576" max="13576" width="10.85546875" style="199" customWidth="1"/>
    <col min="13577" max="13577" width="8.85546875" style="199"/>
    <col min="13578" max="13578" width="10.7109375" style="199" customWidth="1"/>
    <col min="13579" max="13579" width="10.42578125" style="199" bestFit="1" customWidth="1"/>
    <col min="13580" max="13580" width="10.28515625" style="199" customWidth="1"/>
    <col min="13581" max="13581" width="11.42578125" style="199" bestFit="1" customWidth="1"/>
    <col min="13582" max="13823" width="8.85546875" style="199"/>
    <col min="13824" max="13824" width="4.140625" style="199" customWidth="1"/>
    <col min="13825" max="13825" width="9.28515625" style="199" customWidth="1"/>
    <col min="13826" max="13826" width="39.7109375" style="199" customWidth="1"/>
    <col min="13827" max="13829" width="8.85546875" style="199"/>
    <col min="13830" max="13830" width="9.85546875" style="199" customWidth="1"/>
    <col min="13831" max="13831" width="11.42578125" style="199" bestFit="1" customWidth="1"/>
    <col min="13832" max="13832" width="10.85546875" style="199" customWidth="1"/>
    <col min="13833" max="13833" width="8.85546875" style="199"/>
    <col min="13834" max="13834" width="10.7109375" style="199" customWidth="1"/>
    <col min="13835" max="13835" width="10.42578125" style="199" bestFit="1" customWidth="1"/>
    <col min="13836" max="13836" width="10.28515625" style="199" customWidth="1"/>
    <col min="13837" max="13837" width="11.42578125" style="199" bestFit="1" customWidth="1"/>
    <col min="13838" max="14079" width="8.85546875" style="199"/>
    <col min="14080" max="14080" width="4.140625" style="199" customWidth="1"/>
    <col min="14081" max="14081" width="9.28515625" style="199" customWidth="1"/>
    <col min="14082" max="14082" width="39.7109375" style="199" customWidth="1"/>
    <col min="14083" max="14085" width="8.85546875" style="199"/>
    <col min="14086" max="14086" width="9.85546875" style="199" customWidth="1"/>
    <col min="14087" max="14087" width="11.42578125" style="199" bestFit="1" customWidth="1"/>
    <col min="14088" max="14088" width="10.85546875" style="199" customWidth="1"/>
    <col min="14089" max="14089" width="8.85546875" style="199"/>
    <col min="14090" max="14090" width="10.7109375" style="199" customWidth="1"/>
    <col min="14091" max="14091" width="10.42578125" style="199" bestFit="1" customWidth="1"/>
    <col min="14092" max="14092" width="10.28515625" style="199" customWidth="1"/>
    <col min="14093" max="14093" width="11.42578125" style="199" bestFit="1" customWidth="1"/>
    <col min="14094" max="14335" width="8.85546875" style="199"/>
    <col min="14336" max="14336" width="4.140625" style="199" customWidth="1"/>
    <col min="14337" max="14337" width="9.28515625" style="199" customWidth="1"/>
    <col min="14338" max="14338" width="39.7109375" style="199" customWidth="1"/>
    <col min="14339" max="14341" width="8.85546875" style="199"/>
    <col min="14342" max="14342" width="9.85546875" style="199" customWidth="1"/>
    <col min="14343" max="14343" width="11.42578125" style="199" bestFit="1" customWidth="1"/>
    <col min="14344" max="14344" width="10.85546875" style="199" customWidth="1"/>
    <col min="14345" max="14345" width="8.85546875" style="199"/>
    <col min="14346" max="14346" width="10.7109375" style="199" customWidth="1"/>
    <col min="14347" max="14347" width="10.42578125" style="199" bestFit="1" customWidth="1"/>
    <col min="14348" max="14348" width="10.28515625" style="199" customWidth="1"/>
    <col min="14349" max="14349" width="11.42578125" style="199" bestFit="1" customWidth="1"/>
    <col min="14350" max="14591" width="8.85546875" style="199"/>
    <col min="14592" max="14592" width="4.140625" style="199" customWidth="1"/>
    <col min="14593" max="14593" width="9.28515625" style="199" customWidth="1"/>
    <col min="14594" max="14594" width="39.7109375" style="199" customWidth="1"/>
    <col min="14595" max="14597" width="8.85546875" style="199"/>
    <col min="14598" max="14598" width="9.85546875" style="199" customWidth="1"/>
    <col min="14599" max="14599" width="11.42578125" style="199" bestFit="1" customWidth="1"/>
    <col min="14600" max="14600" width="10.85546875" style="199" customWidth="1"/>
    <col min="14601" max="14601" width="8.85546875" style="199"/>
    <col min="14602" max="14602" width="10.7109375" style="199" customWidth="1"/>
    <col min="14603" max="14603" width="10.42578125" style="199" bestFit="1" customWidth="1"/>
    <col min="14604" max="14604" width="10.28515625" style="199" customWidth="1"/>
    <col min="14605" max="14605" width="11.42578125" style="199" bestFit="1" customWidth="1"/>
    <col min="14606" max="14847" width="8.85546875" style="199"/>
    <col min="14848" max="14848" width="4.140625" style="199" customWidth="1"/>
    <col min="14849" max="14849" width="9.28515625" style="199" customWidth="1"/>
    <col min="14850" max="14850" width="39.7109375" style="199" customWidth="1"/>
    <col min="14851" max="14853" width="8.85546875" style="199"/>
    <col min="14854" max="14854" width="9.85546875" style="199" customWidth="1"/>
    <col min="14855" max="14855" width="11.42578125" style="199" bestFit="1" customWidth="1"/>
    <col min="14856" max="14856" width="10.85546875" style="199" customWidth="1"/>
    <col min="14857" max="14857" width="8.85546875" style="199"/>
    <col min="14858" max="14858" width="10.7109375" style="199" customWidth="1"/>
    <col min="14859" max="14859" width="10.42578125" style="199" bestFit="1" customWidth="1"/>
    <col min="14860" max="14860" width="10.28515625" style="199" customWidth="1"/>
    <col min="14861" max="14861" width="11.42578125" style="199" bestFit="1" customWidth="1"/>
    <col min="14862" max="15103" width="8.85546875" style="199"/>
    <col min="15104" max="15104" width="4.140625" style="199" customWidth="1"/>
    <col min="15105" max="15105" width="9.28515625" style="199" customWidth="1"/>
    <col min="15106" max="15106" width="39.7109375" style="199" customWidth="1"/>
    <col min="15107" max="15109" width="8.85546875" style="199"/>
    <col min="15110" max="15110" width="9.85546875" style="199" customWidth="1"/>
    <col min="15111" max="15111" width="11.42578125" style="199" bestFit="1" customWidth="1"/>
    <col min="15112" max="15112" width="10.85546875" style="199" customWidth="1"/>
    <col min="15113" max="15113" width="8.85546875" style="199"/>
    <col min="15114" max="15114" width="10.7109375" style="199" customWidth="1"/>
    <col min="15115" max="15115" width="10.42578125" style="199" bestFit="1" customWidth="1"/>
    <col min="15116" max="15116" width="10.28515625" style="199" customWidth="1"/>
    <col min="15117" max="15117" width="11.42578125" style="199" bestFit="1" customWidth="1"/>
    <col min="15118" max="15359" width="8.85546875" style="199"/>
    <col min="15360" max="15360" width="4.140625" style="199" customWidth="1"/>
    <col min="15361" max="15361" width="9.28515625" style="199" customWidth="1"/>
    <col min="15362" max="15362" width="39.7109375" style="199" customWidth="1"/>
    <col min="15363" max="15365" width="8.85546875" style="199"/>
    <col min="15366" max="15366" width="9.85546875" style="199" customWidth="1"/>
    <col min="15367" max="15367" width="11.42578125" style="199" bestFit="1" customWidth="1"/>
    <col min="15368" max="15368" width="10.85546875" style="199" customWidth="1"/>
    <col min="15369" max="15369" width="8.85546875" style="199"/>
    <col min="15370" max="15370" width="10.7109375" style="199" customWidth="1"/>
    <col min="15371" max="15371" width="10.42578125" style="199" bestFit="1" customWidth="1"/>
    <col min="15372" max="15372" width="10.28515625" style="199" customWidth="1"/>
    <col min="15373" max="15373" width="11.42578125" style="199" bestFit="1" customWidth="1"/>
    <col min="15374" max="15615" width="8.85546875" style="199"/>
    <col min="15616" max="15616" width="4.140625" style="199" customWidth="1"/>
    <col min="15617" max="15617" width="9.28515625" style="199" customWidth="1"/>
    <col min="15618" max="15618" width="39.7109375" style="199" customWidth="1"/>
    <col min="15619" max="15621" width="8.85546875" style="199"/>
    <col min="15622" max="15622" width="9.85546875" style="199" customWidth="1"/>
    <col min="15623" max="15623" width="11.42578125" style="199" bestFit="1" customWidth="1"/>
    <col min="15624" max="15624" width="10.85546875" style="199" customWidth="1"/>
    <col min="15625" max="15625" width="8.85546875" style="199"/>
    <col min="15626" max="15626" width="10.7109375" style="199" customWidth="1"/>
    <col min="15627" max="15627" width="10.42578125" style="199" bestFit="1" customWidth="1"/>
    <col min="15628" max="15628" width="10.28515625" style="199" customWidth="1"/>
    <col min="15629" max="15629" width="11.42578125" style="199" bestFit="1" customWidth="1"/>
    <col min="15630" max="15871" width="8.85546875" style="199"/>
    <col min="15872" max="15872" width="4.140625" style="199" customWidth="1"/>
    <col min="15873" max="15873" width="9.28515625" style="199" customWidth="1"/>
    <col min="15874" max="15874" width="39.7109375" style="199" customWidth="1"/>
    <col min="15875" max="15877" width="8.85546875" style="199"/>
    <col min="15878" max="15878" width="9.85546875" style="199" customWidth="1"/>
    <col min="15879" max="15879" width="11.42578125" style="199" bestFit="1" customWidth="1"/>
    <col min="15880" max="15880" width="10.85546875" style="199" customWidth="1"/>
    <col min="15881" max="15881" width="8.85546875" style="199"/>
    <col min="15882" max="15882" width="10.7109375" style="199" customWidth="1"/>
    <col min="15883" max="15883" width="10.42578125" style="199" bestFit="1" customWidth="1"/>
    <col min="15884" max="15884" width="10.28515625" style="199" customWidth="1"/>
    <col min="15885" max="15885" width="11.42578125" style="199" bestFit="1" customWidth="1"/>
    <col min="15886" max="16127" width="8.85546875" style="199"/>
    <col min="16128" max="16128" width="4.140625" style="199" customWidth="1"/>
    <col min="16129" max="16129" width="9.28515625" style="199" customWidth="1"/>
    <col min="16130" max="16130" width="39.7109375" style="199" customWidth="1"/>
    <col min="16131" max="16133" width="8.85546875" style="199"/>
    <col min="16134" max="16134" width="9.85546875" style="199" customWidth="1"/>
    <col min="16135" max="16135" width="11.42578125" style="199" bestFit="1" customWidth="1"/>
    <col min="16136" max="16136" width="10.85546875" style="199" customWidth="1"/>
    <col min="16137" max="16137" width="8.85546875" style="199"/>
    <col min="16138" max="16138" width="10.7109375" style="199" customWidth="1"/>
    <col min="16139" max="16139" width="10.42578125" style="199" bestFit="1" customWidth="1"/>
    <col min="16140" max="16140" width="10.28515625" style="199" customWidth="1"/>
    <col min="16141" max="16141" width="11.42578125" style="199" bestFit="1" customWidth="1"/>
    <col min="16142" max="16384" width="8.85546875" style="199"/>
  </cols>
  <sheetData>
    <row r="1" spans="1:18" ht="1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ht="1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5">
      <c r="A3" s="19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35.450000000000003" customHeight="1">
      <c r="A4" s="457" t="s">
        <v>166</v>
      </c>
      <c r="B4" s="459" t="s">
        <v>167</v>
      </c>
      <c r="C4" s="455" t="s">
        <v>168</v>
      </c>
      <c r="D4" s="453" t="s">
        <v>169</v>
      </c>
      <c r="E4" s="461"/>
      <c r="F4" s="454"/>
      <c r="G4" s="453" t="s">
        <v>170</v>
      </c>
      <c r="H4" s="454"/>
      <c r="I4" s="453" t="s">
        <v>171</v>
      </c>
      <c r="J4" s="454"/>
      <c r="K4" s="453" t="s">
        <v>172</v>
      </c>
      <c r="L4" s="454"/>
      <c r="M4" s="455" t="s">
        <v>173</v>
      </c>
      <c r="N4" s="198"/>
      <c r="O4" s="198"/>
      <c r="P4" s="198"/>
      <c r="Q4" s="198"/>
      <c r="R4" s="198"/>
    </row>
    <row r="5" spans="1:18" ht="60" customHeight="1">
      <c r="A5" s="458"/>
      <c r="B5" s="460"/>
      <c r="C5" s="456"/>
      <c r="D5" s="200" t="s">
        <v>174</v>
      </c>
      <c r="E5" s="200" t="s">
        <v>175</v>
      </c>
      <c r="F5" s="200" t="s">
        <v>60</v>
      </c>
      <c r="G5" s="200" t="s">
        <v>176</v>
      </c>
      <c r="H5" s="200" t="s">
        <v>60</v>
      </c>
      <c r="I5" s="200" t="s">
        <v>176</v>
      </c>
      <c r="J5" s="200" t="s">
        <v>60</v>
      </c>
      <c r="K5" s="200" t="s">
        <v>176</v>
      </c>
      <c r="L5" s="200" t="s">
        <v>60</v>
      </c>
      <c r="M5" s="456"/>
      <c r="N5" s="198"/>
      <c r="O5" s="198"/>
      <c r="P5" s="198"/>
      <c r="Q5" s="198"/>
      <c r="R5" s="198"/>
    </row>
    <row r="6" spans="1:18" ht="15">
      <c r="A6" s="201">
        <v>1</v>
      </c>
      <c r="B6" s="202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  <c r="N6" s="198"/>
      <c r="O6" s="198"/>
      <c r="P6" s="198"/>
      <c r="Q6" s="198"/>
      <c r="R6" s="198"/>
    </row>
    <row r="7" spans="1:18" ht="15">
      <c r="A7" s="203"/>
      <c r="B7" s="202"/>
      <c r="C7" s="203" t="s">
        <v>757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98"/>
      <c r="O7" s="198"/>
      <c r="P7" s="198"/>
      <c r="Q7" s="198"/>
      <c r="R7" s="198"/>
    </row>
    <row r="8" spans="1:18" ht="15">
      <c r="A8" s="203"/>
      <c r="B8" s="202"/>
      <c r="C8" s="203" t="s">
        <v>288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98"/>
      <c r="O8" s="198"/>
      <c r="P8" s="198"/>
      <c r="Q8" s="198"/>
      <c r="R8" s="198"/>
    </row>
    <row r="9" spans="1:18" ht="30">
      <c r="A9" s="237">
        <v>1</v>
      </c>
      <c r="B9" s="238" t="s">
        <v>758</v>
      </c>
      <c r="C9" s="237" t="s">
        <v>759</v>
      </c>
      <c r="D9" s="237" t="s">
        <v>268</v>
      </c>
      <c r="E9" s="239"/>
      <c r="F9" s="239">
        <v>5</v>
      </c>
      <c r="G9" s="239"/>
      <c r="H9" s="239"/>
      <c r="I9" s="239"/>
      <c r="J9" s="239"/>
      <c r="K9" s="239"/>
      <c r="L9" s="239"/>
      <c r="M9" s="239"/>
      <c r="N9" s="198"/>
      <c r="O9" s="198"/>
      <c r="P9" s="198"/>
      <c r="Q9" s="198"/>
      <c r="R9" s="198"/>
    </row>
    <row r="10" spans="1:18" ht="15">
      <c r="A10" s="237"/>
      <c r="B10" s="238"/>
      <c r="C10" s="239" t="s">
        <v>180</v>
      </c>
      <c r="D10" s="239" t="s">
        <v>18</v>
      </c>
      <c r="E10" s="239">
        <v>1</v>
      </c>
      <c r="F10" s="239">
        <f>E10*F9</f>
        <v>5</v>
      </c>
      <c r="G10" s="239"/>
      <c r="H10" s="239"/>
      <c r="I10" s="239"/>
      <c r="J10" s="239">
        <f t="shared" ref="J10" si="0">I10*F10</f>
        <v>0</v>
      </c>
      <c r="K10" s="239"/>
      <c r="L10" s="239"/>
      <c r="M10" s="239">
        <f t="shared" ref="M10:M13" si="1">L10+J10+H10</f>
        <v>0</v>
      </c>
      <c r="N10" s="198"/>
      <c r="O10" s="198"/>
      <c r="P10" s="198"/>
      <c r="Q10" s="198"/>
      <c r="R10" s="198"/>
    </row>
    <row r="11" spans="1:18" ht="15">
      <c r="A11" s="237"/>
      <c r="B11" s="238"/>
      <c r="C11" s="239" t="s">
        <v>36</v>
      </c>
      <c r="D11" s="239" t="s">
        <v>25</v>
      </c>
      <c r="E11" s="239">
        <v>14.7</v>
      </c>
      <c r="F11" s="239">
        <f>E11*F9</f>
        <v>73.5</v>
      </c>
      <c r="G11" s="239"/>
      <c r="H11" s="239"/>
      <c r="I11" s="239"/>
      <c r="J11" s="239"/>
      <c r="K11" s="239"/>
      <c r="L11" s="240">
        <f t="shared" ref="L11" si="2">K11*F11</f>
        <v>0</v>
      </c>
      <c r="M11" s="240">
        <f t="shared" si="1"/>
        <v>0</v>
      </c>
      <c r="N11" s="198"/>
      <c r="O11" s="198"/>
      <c r="P11" s="198"/>
      <c r="Q11" s="198"/>
      <c r="R11" s="198"/>
    </row>
    <row r="12" spans="1:18" ht="30">
      <c r="A12" s="237"/>
      <c r="B12" s="238" t="s">
        <v>760</v>
      </c>
      <c r="C12" s="239" t="s">
        <v>759</v>
      </c>
      <c r="D12" s="239" t="s">
        <v>268</v>
      </c>
      <c r="E12" s="239">
        <v>1</v>
      </c>
      <c r="F12" s="239">
        <f>E12*F9</f>
        <v>5</v>
      </c>
      <c r="G12" s="240"/>
      <c r="H12" s="240">
        <f t="shared" ref="H12:H13" si="3">G12*F12</f>
        <v>0</v>
      </c>
      <c r="I12" s="239"/>
      <c r="J12" s="239"/>
      <c r="K12" s="239"/>
      <c r="L12" s="239"/>
      <c r="M12" s="240">
        <f t="shared" si="1"/>
        <v>0</v>
      </c>
      <c r="N12" s="198"/>
      <c r="O12" s="198"/>
      <c r="P12" s="198"/>
      <c r="Q12" s="198"/>
      <c r="R12" s="198"/>
    </row>
    <row r="13" spans="1:18" ht="15">
      <c r="A13" s="237"/>
      <c r="B13" s="238"/>
      <c r="C13" s="239" t="s">
        <v>21</v>
      </c>
      <c r="D13" s="239" t="s">
        <v>25</v>
      </c>
      <c r="E13" s="239">
        <v>7.92</v>
      </c>
      <c r="F13" s="239">
        <f>E13*F9</f>
        <v>39.6</v>
      </c>
      <c r="G13" s="239"/>
      <c r="H13" s="240">
        <f t="shared" si="3"/>
        <v>0</v>
      </c>
      <c r="I13" s="239"/>
      <c r="J13" s="239"/>
      <c r="K13" s="239"/>
      <c r="L13" s="239"/>
      <c r="M13" s="240">
        <f t="shared" si="1"/>
        <v>0</v>
      </c>
      <c r="N13" s="198"/>
      <c r="O13" s="198"/>
      <c r="P13" s="198"/>
      <c r="Q13" s="198"/>
      <c r="R13" s="198"/>
    </row>
    <row r="14" spans="1:18" ht="15">
      <c r="A14" s="237">
        <v>2</v>
      </c>
      <c r="B14" s="238" t="s">
        <v>761</v>
      </c>
      <c r="C14" s="237" t="s">
        <v>762</v>
      </c>
      <c r="D14" s="237" t="s">
        <v>268</v>
      </c>
      <c r="E14" s="239"/>
      <c r="F14" s="239">
        <v>4</v>
      </c>
      <c r="G14" s="239"/>
      <c r="H14" s="239"/>
      <c r="I14" s="239"/>
      <c r="J14" s="239"/>
      <c r="K14" s="239"/>
      <c r="L14" s="239"/>
      <c r="M14" s="239"/>
      <c r="N14" s="198"/>
      <c r="O14" s="198"/>
      <c r="P14" s="198"/>
      <c r="Q14" s="198"/>
      <c r="R14" s="198"/>
    </row>
    <row r="15" spans="1:18" ht="15">
      <c r="A15" s="237"/>
      <c r="B15" s="238"/>
      <c r="C15" s="239" t="s">
        <v>180</v>
      </c>
      <c r="D15" s="239" t="s">
        <v>18</v>
      </c>
      <c r="E15" s="239">
        <v>1</v>
      </c>
      <c r="F15" s="239">
        <f>E15*F14</f>
        <v>4</v>
      </c>
      <c r="G15" s="239"/>
      <c r="H15" s="239"/>
      <c r="I15" s="239"/>
      <c r="J15" s="239">
        <f t="shared" ref="J15" si="4">I15*F15</f>
        <v>0</v>
      </c>
      <c r="K15" s="239"/>
      <c r="L15" s="239"/>
      <c r="M15" s="239">
        <f t="shared" ref="M15:M18" si="5">L15+J15+H15</f>
        <v>0</v>
      </c>
      <c r="N15" s="198"/>
      <c r="O15" s="198"/>
      <c r="P15" s="198"/>
      <c r="Q15" s="198"/>
      <c r="R15" s="198"/>
    </row>
    <row r="16" spans="1:18" ht="15">
      <c r="A16" s="237"/>
      <c r="B16" s="238"/>
      <c r="C16" s="239" t="s">
        <v>36</v>
      </c>
      <c r="D16" s="239" t="s">
        <v>25</v>
      </c>
      <c r="E16" s="239">
        <v>6.16</v>
      </c>
      <c r="F16" s="239">
        <f>E16*F14</f>
        <v>24.64</v>
      </c>
      <c r="G16" s="239"/>
      <c r="H16" s="239"/>
      <c r="I16" s="239"/>
      <c r="J16" s="239"/>
      <c r="K16" s="239"/>
      <c r="L16" s="240">
        <f t="shared" ref="L16" si="6">K16*F16</f>
        <v>0</v>
      </c>
      <c r="M16" s="240">
        <f t="shared" si="5"/>
        <v>0</v>
      </c>
      <c r="N16" s="198"/>
      <c r="O16" s="198"/>
      <c r="P16" s="198"/>
      <c r="Q16" s="198"/>
      <c r="R16" s="198"/>
    </row>
    <row r="17" spans="1:18" ht="15">
      <c r="A17" s="237"/>
      <c r="B17" s="238" t="s">
        <v>763</v>
      </c>
      <c r="C17" s="239" t="s">
        <v>762</v>
      </c>
      <c r="D17" s="239" t="s">
        <v>268</v>
      </c>
      <c r="E17" s="239">
        <v>1</v>
      </c>
      <c r="F17" s="239">
        <f>E17*F14</f>
        <v>4</v>
      </c>
      <c r="G17" s="240"/>
      <c r="H17" s="240">
        <f t="shared" ref="H17:H18" si="7">G17*F17</f>
        <v>0</v>
      </c>
      <c r="I17" s="239"/>
      <c r="J17" s="239"/>
      <c r="K17" s="239"/>
      <c r="L17" s="239"/>
      <c r="M17" s="240">
        <f t="shared" si="5"/>
        <v>0</v>
      </c>
      <c r="N17" s="198"/>
      <c r="O17" s="198"/>
      <c r="P17" s="198"/>
      <c r="Q17" s="198"/>
      <c r="R17" s="198"/>
    </row>
    <row r="18" spans="1:18" ht="15">
      <c r="A18" s="237"/>
      <c r="B18" s="238"/>
      <c r="C18" s="239" t="s">
        <v>21</v>
      </c>
      <c r="D18" s="239" t="s">
        <v>25</v>
      </c>
      <c r="E18" s="239">
        <v>4.4400000000000004</v>
      </c>
      <c r="F18" s="239">
        <f>E18*F14</f>
        <v>17.760000000000002</v>
      </c>
      <c r="G18" s="239"/>
      <c r="H18" s="240">
        <f t="shared" si="7"/>
        <v>0</v>
      </c>
      <c r="I18" s="239"/>
      <c r="J18" s="239"/>
      <c r="K18" s="239"/>
      <c r="L18" s="239"/>
      <c r="M18" s="240">
        <f t="shared" si="5"/>
        <v>0</v>
      </c>
      <c r="N18" s="198"/>
      <c r="O18" s="198"/>
      <c r="P18" s="198"/>
      <c r="Q18" s="198"/>
      <c r="R18" s="198"/>
    </row>
    <row r="19" spans="1:18" ht="30">
      <c r="A19" s="237">
        <v>3</v>
      </c>
      <c r="B19" s="238" t="s">
        <v>764</v>
      </c>
      <c r="C19" s="237" t="s">
        <v>765</v>
      </c>
      <c r="D19" s="237" t="s">
        <v>268</v>
      </c>
      <c r="E19" s="239"/>
      <c r="F19" s="239">
        <v>6</v>
      </c>
      <c r="G19" s="239"/>
      <c r="H19" s="239"/>
      <c r="I19" s="239"/>
      <c r="J19" s="239"/>
      <c r="K19" s="239"/>
      <c r="L19" s="239"/>
      <c r="M19" s="239"/>
      <c r="N19" s="198"/>
      <c r="O19" s="198"/>
      <c r="P19" s="198"/>
      <c r="Q19" s="198"/>
      <c r="R19" s="198"/>
    </row>
    <row r="20" spans="1:18" ht="15">
      <c r="A20" s="237"/>
      <c r="B20" s="238"/>
      <c r="C20" s="239" t="s">
        <v>180</v>
      </c>
      <c r="D20" s="239" t="s">
        <v>18</v>
      </c>
      <c r="E20" s="239">
        <v>1</v>
      </c>
      <c r="F20" s="239">
        <f>E20*F19</f>
        <v>6</v>
      </c>
      <c r="G20" s="239"/>
      <c r="H20" s="239"/>
      <c r="I20" s="239"/>
      <c r="J20" s="239">
        <f t="shared" ref="J20" si="8">I20*F20</f>
        <v>0</v>
      </c>
      <c r="K20" s="239"/>
      <c r="L20" s="239"/>
      <c r="M20" s="239">
        <f t="shared" ref="M20:M23" si="9">L20+J20+H20</f>
        <v>0</v>
      </c>
      <c r="N20" s="198"/>
      <c r="O20" s="198"/>
      <c r="P20" s="198"/>
      <c r="Q20" s="198"/>
      <c r="R20" s="198"/>
    </row>
    <row r="21" spans="1:18" ht="15">
      <c r="A21" s="237"/>
      <c r="B21" s="238"/>
      <c r="C21" s="239" t="s">
        <v>36</v>
      </c>
      <c r="D21" s="239" t="s">
        <v>25</v>
      </c>
      <c r="E21" s="239">
        <v>2.58</v>
      </c>
      <c r="F21" s="239">
        <f>E21*F19</f>
        <v>15.48</v>
      </c>
      <c r="G21" s="239"/>
      <c r="H21" s="239"/>
      <c r="I21" s="239"/>
      <c r="J21" s="239"/>
      <c r="K21" s="239"/>
      <c r="L21" s="240">
        <f t="shared" ref="L21" si="10">K21*F21</f>
        <v>0</v>
      </c>
      <c r="M21" s="240">
        <f t="shared" si="9"/>
        <v>0</v>
      </c>
      <c r="N21" s="198"/>
      <c r="O21" s="198"/>
      <c r="P21" s="198"/>
      <c r="Q21" s="198"/>
      <c r="R21" s="198"/>
    </row>
    <row r="22" spans="1:18" ht="30">
      <c r="A22" s="237"/>
      <c r="B22" s="238"/>
      <c r="C22" s="239" t="s">
        <v>765</v>
      </c>
      <c r="D22" s="239" t="s">
        <v>268</v>
      </c>
      <c r="E22" s="239">
        <v>1</v>
      </c>
      <c r="F22" s="239">
        <f>E22*F19</f>
        <v>6</v>
      </c>
      <c r="G22" s="240"/>
      <c r="H22" s="240">
        <f t="shared" ref="H22:H23" si="11">G22*F22</f>
        <v>0</v>
      </c>
      <c r="I22" s="239"/>
      <c r="J22" s="239"/>
      <c r="K22" s="239"/>
      <c r="L22" s="239"/>
      <c r="M22" s="240">
        <f t="shared" si="9"/>
        <v>0</v>
      </c>
      <c r="N22" s="198"/>
      <c r="O22" s="198"/>
      <c r="P22" s="198"/>
      <c r="Q22" s="198"/>
      <c r="R22" s="198"/>
    </row>
    <row r="23" spans="1:18" ht="15">
      <c r="A23" s="237"/>
      <c r="B23" s="238"/>
      <c r="C23" s="239" t="s">
        <v>21</v>
      </c>
      <c r="D23" s="239" t="s">
        <v>25</v>
      </c>
      <c r="E23" s="239">
        <v>11.6</v>
      </c>
      <c r="F23" s="239">
        <f>E23*F19</f>
        <v>69.599999999999994</v>
      </c>
      <c r="G23" s="239"/>
      <c r="H23" s="240">
        <f t="shared" si="11"/>
        <v>0</v>
      </c>
      <c r="I23" s="239"/>
      <c r="J23" s="239"/>
      <c r="K23" s="239"/>
      <c r="L23" s="239"/>
      <c r="M23" s="240">
        <f t="shared" si="9"/>
        <v>0</v>
      </c>
      <c r="N23" s="198"/>
      <c r="O23" s="198"/>
      <c r="P23" s="198"/>
      <c r="Q23" s="198"/>
      <c r="R23" s="198"/>
    </row>
    <row r="24" spans="1:18" ht="45">
      <c r="A24" s="237">
        <v>4</v>
      </c>
      <c r="B24" s="238" t="s">
        <v>766</v>
      </c>
      <c r="C24" s="237" t="s">
        <v>767</v>
      </c>
      <c r="D24" s="237" t="s">
        <v>268</v>
      </c>
      <c r="E24" s="239"/>
      <c r="F24" s="239">
        <v>1</v>
      </c>
      <c r="G24" s="239"/>
      <c r="H24" s="239"/>
      <c r="I24" s="239"/>
      <c r="J24" s="239"/>
      <c r="K24" s="239"/>
      <c r="L24" s="239"/>
      <c r="M24" s="239"/>
      <c r="N24" s="198"/>
      <c r="O24" s="198"/>
      <c r="P24" s="198"/>
      <c r="Q24" s="198"/>
      <c r="R24" s="198"/>
    </row>
    <row r="25" spans="1:18" ht="15">
      <c r="A25" s="237"/>
      <c r="B25" s="238"/>
      <c r="C25" s="239" t="s">
        <v>180</v>
      </c>
      <c r="D25" s="239" t="s">
        <v>18</v>
      </c>
      <c r="E25" s="239">
        <v>1</v>
      </c>
      <c r="F25" s="239">
        <f>E25*F24</f>
        <v>1</v>
      </c>
      <c r="G25" s="239"/>
      <c r="H25" s="239"/>
      <c r="I25" s="239"/>
      <c r="J25" s="239">
        <f t="shared" ref="J25" si="12">I25*F25</f>
        <v>0</v>
      </c>
      <c r="K25" s="239"/>
      <c r="L25" s="239"/>
      <c r="M25" s="239">
        <f t="shared" ref="M25:M28" si="13">L25+J25+H25</f>
        <v>0</v>
      </c>
      <c r="N25" s="198"/>
      <c r="O25" s="198"/>
      <c r="P25" s="198"/>
      <c r="Q25" s="198"/>
      <c r="R25" s="198"/>
    </row>
    <row r="26" spans="1:18" ht="15">
      <c r="A26" s="237"/>
      <c r="B26" s="238"/>
      <c r="C26" s="239" t="s">
        <v>36</v>
      </c>
      <c r="D26" s="239" t="s">
        <v>25</v>
      </c>
      <c r="E26" s="239">
        <v>28.8</v>
      </c>
      <c r="F26" s="239">
        <f>E26*F24</f>
        <v>28.8</v>
      </c>
      <c r="G26" s="239"/>
      <c r="H26" s="239"/>
      <c r="I26" s="239"/>
      <c r="J26" s="239"/>
      <c r="K26" s="239"/>
      <c r="L26" s="240">
        <f t="shared" ref="L26" si="14">K26*F26</f>
        <v>0</v>
      </c>
      <c r="M26" s="240">
        <f t="shared" si="13"/>
        <v>0</v>
      </c>
      <c r="N26" s="198"/>
      <c r="O26" s="198"/>
      <c r="P26" s="198"/>
      <c r="Q26" s="198"/>
      <c r="R26" s="198"/>
    </row>
    <row r="27" spans="1:18" ht="30">
      <c r="A27" s="237"/>
      <c r="B27" s="238"/>
      <c r="C27" s="239" t="s">
        <v>768</v>
      </c>
      <c r="D27" s="239" t="s">
        <v>268</v>
      </c>
      <c r="E27" s="239">
        <v>1</v>
      </c>
      <c r="F27" s="239">
        <f>E27*F24</f>
        <v>1</v>
      </c>
      <c r="G27" s="240"/>
      <c r="H27" s="240">
        <f t="shared" ref="H27:H28" si="15">G27*F27</f>
        <v>0</v>
      </c>
      <c r="I27" s="239"/>
      <c r="J27" s="239"/>
      <c r="K27" s="239"/>
      <c r="L27" s="239"/>
      <c r="M27" s="240">
        <f t="shared" si="13"/>
        <v>0</v>
      </c>
      <c r="N27" s="198"/>
      <c r="O27" s="198"/>
      <c r="P27" s="198"/>
      <c r="Q27" s="198"/>
      <c r="R27" s="198"/>
    </row>
    <row r="28" spans="1:18" ht="15">
      <c r="A28" s="237"/>
      <c r="B28" s="238"/>
      <c r="C28" s="239" t="s">
        <v>21</v>
      </c>
      <c r="D28" s="239" t="s">
        <v>25</v>
      </c>
      <c r="E28" s="239">
        <v>12.7</v>
      </c>
      <c r="F28" s="239">
        <f>E28*F24</f>
        <v>12.7</v>
      </c>
      <c r="G28" s="239"/>
      <c r="H28" s="240">
        <f t="shared" si="15"/>
        <v>0</v>
      </c>
      <c r="I28" s="239"/>
      <c r="J28" s="239"/>
      <c r="K28" s="239"/>
      <c r="L28" s="239"/>
      <c r="M28" s="240">
        <f t="shared" si="13"/>
        <v>0</v>
      </c>
      <c r="N28" s="198"/>
      <c r="O28" s="198"/>
      <c r="P28" s="198"/>
      <c r="Q28" s="198"/>
      <c r="R28" s="198"/>
    </row>
    <row r="29" spans="1:18" ht="30">
      <c r="A29" s="237">
        <v>5</v>
      </c>
      <c r="B29" s="238" t="s">
        <v>769</v>
      </c>
      <c r="C29" s="237" t="s">
        <v>770</v>
      </c>
      <c r="D29" s="237" t="s">
        <v>268</v>
      </c>
      <c r="E29" s="239"/>
      <c r="F29" s="239">
        <v>3</v>
      </c>
      <c r="G29" s="239"/>
      <c r="H29" s="239"/>
      <c r="I29" s="239"/>
      <c r="J29" s="239"/>
      <c r="K29" s="239"/>
      <c r="L29" s="239"/>
      <c r="M29" s="239"/>
      <c r="N29" s="198"/>
      <c r="O29" s="198"/>
      <c r="P29" s="198"/>
      <c r="Q29" s="198"/>
      <c r="R29" s="198"/>
    </row>
    <row r="30" spans="1:18" ht="15">
      <c r="A30" s="237"/>
      <c r="B30" s="238"/>
      <c r="C30" s="239" t="s">
        <v>180</v>
      </c>
      <c r="D30" s="239" t="s">
        <v>18</v>
      </c>
      <c r="E30" s="239">
        <v>1</v>
      </c>
      <c r="F30" s="239">
        <f>E30*F29</f>
        <v>3</v>
      </c>
      <c r="G30" s="239"/>
      <c r="H30" s="239"/>
      <c r="I30" s="239"/>
      <c r="J30" s="239">
        <f t="shared" ref="J30" si="16">I30*F30</f>
        <v>0</v>
      </c>
      <c r="K30" s="239"/>
      <c r="L30" s="239"/>
      <c r="M30" s="239">
        <f t="shared" ref="M30:M34" si="17">L30+J30+H30</f>
        <v>0</v>
      </c>
      <c r="N30" s="198"/>
      <c r="O30" s="198"/>
      <c r="P30" s="198"/>
      <c r="Q30" s="198"/>
      <c r="R30" s="198"/>
    </row>
    <row r="31" spans="1:18" ht="15">
      <c r="A31" s="237"/>
      <c r="B31" s="238"/>
      <c r="C31" s="239" t="s">
        <v>36</v>
      </c>
      <c r="D31" s="239" t="s">
        <v>25</v>
      </c>
      <c r="E31" s="239">
        <v>2</v>
      </c>
      <c r="F31" s="239">
        <f>E31*F29</f>
        <v>6</v>
      </c>
      <c r="G31" s="239"/>
      <c r="H31" s="239"/>
      <c r="I31" s="239"/>
      <c r="J31" s="239"/>
      <c r="K31" s="239"/>
      <c r="L31" s="240">
        <f t="shared" ref="L31" si="18">K31*F31</f>
        <v>0</v>
      </c>
      <c r="M31" s="240">
        <f t="shared" si="17"/>
        <v>0</v>
      </c>
      <c r="N31" s="198"/>
      <c r="O31" s="198"/>
      <c r="P31" s="198"/>
      <c r="Q31" s="198"/>
      <c r="R31" s="198"/>
    </row>
    <row r="32" spans="1:18" ht="15">
      <c r="A32" s="237"/>
      <c r="B32" s="238"/>
      <c r="C32" s="239" t="s">
        <v>771</v>
      </c>
      <c r="D32" s="239" t="s">
        <v>268</v>
      </c>
      <c r="E32" s="239"/>
      <c r="F32" s="239">
        <v>2</v>
      </c>
      <c r="G32" s="240"/>
      <c r="H32" s="240">
        <f t="shared" ref="H32:H34" si="19">G32*F32</f>
        <v>0</v>
      </c>
      <c r="I32" s="239"/>
      <c r="J32" s="239"/>
      <c r="K32" s="239"/>
      <c r="L32" s="239"/>
      <c r="M32" s="240">
        <f t="shared" si="17"/>
        <v>0</v>
      </c>
      <c r="N32" s="198"/>
      <c r="O32" s="198"/>
      <c r="P32" s="198"/>
      <c r="Q32" s="198"/>
      <c r="R32" s="198"/>
    </row>
    <row r="33" spans="1:18" ht="15">
      <c r="A33" s="237"/>
      <c r="B33" s="238"/>
      <c r="C33" s="239" t="s">
        <v>772</v>
      </c>
      <c r="D33" s="239" t="s">
        <v>268</v>
      </c>
      <c r="E33" s="239"/>
      <c r="F33" s="239">
        <v>1</v>
      </c>
      <c r="G33" s="240"/>
      <c r="H33" s="240">
        <f t="shared" si="19"/>
        <v>0</v>
      </c>
      <c r="I33" s="239"/>
      <c r="J33" s="239"/>
      <c r="K33" s="239"/>
      <c r="L33" s="239"/>
      <c r="M33" s="240">
        <f t="shared" si="17"/>
        <v>0</v>
      </c>
      <c r="N33" s="198"/>
      <c r="O33" s="198"/>
      <c r="P33" s="198"/>
      <c r="Q33" s="198"/>
      <c r="R33" s="198"/>
    </row>
    <row r="34" spans="1:18" ht="15">
      <c r="A34" s="237"/>
      <c r="B34" s="238"/>
      <c r="C34" s="239" t="s">
        <v>21</v>
      </c>
      <c r="D34" s="239" t="s">
        <v>25</v>
      </c>
      <c r="E34" s="239">
        <v>9.9700000000000006</v>
      </c>
      <c r="F34" s="239">
        <f>E34*F29</f>
        <v>29.910000000000004</v>
      </c>
      <c r="G34" s="239"/>
      <c r="H34" s="240">
        <f t="shared" si="19"/>
        <v>0</v>
      </c>
      <c r="I34" s="239"/>
      <c r="J34" s="239"/>
      <c r="K34" s="239"/>
      <c r="L34" s="239"/>
      <c r="M34" s="240">
        <f t="shared" si="17"/>
        <v>0</v>
      </c>
      <c r="N34" s="198"/>
      <c r="O34" s="198"/>
      <c r="P34" s="198"/>
      <c r="Q34" s="198"/>
      <c r="R34" s="198"/>
    </row>
    <row r="35" spans="1:18" ht="15">
      <c r="A35" s="237">
        <v>6</v>
      </c>
      <c r="B35" s="238" t="s">
        <v>773</v>
      </c>
      <c r="C35" s="237" t="s">
        <v>774</v>
      </c>
      <c r="D35" s="237" t="s">
        <v>268</v>
      </c>
      <c r="E35" s="239"/>
      <c r="F35" s="239">
        <v>4</v>
      </c>
      <c r="G35" s="239"/>
      <c r="H35" s="239"/>
      <c r="I35" s="239"/>
      <c r="J35" s="239"/>
      <c r="K35" s="239"/>
      <c r="L35" s="239"/>
      <c r="M35" s="239"/>
      <c r="N35" s="198"/>
      <c r="O35" s="198"/>
      <c r="P35" s="198"/>
      <c r="Q35" s="198"/>
      <c r="R35" s="198"/>
    </row>
    <row r="36" spans="1:18" ht="15">
      <c r="A36" s="237"/>
      <c r="B36" s="238"/>
      <c r="C36" s="239" t="s">
        <v>180</v>
      </c>
      <c r="D36" s="239" t="s">
        <v>18</v>
      </c>
      <c r="E36" s="239">
        <v>1</v>
      </c>
      <c r="F36" s="239">
        <f>E36*F35</f>
        <v>4</v>
      </c>
      <c r="G36" s="239"/>
      <c r="H36" s="239"/>
      <c r="I36" s="239"/>
      <c r="J36" s="239">
        <f t="shared" ref="J36" si="20">I36*F36</f>
        <v>0</v>
      </c>
      <c r="K36" s="239"/>
      <c r="L36" s="239"/>
      <c r="M36" s="239">
        <f t="shared" ref="M36:M40" si="21">L36+J36+H36</f>
        <v>0</v>
      </c>
      <c r="N36" s="198"/>
      <c r="O36" s="198"/>
      <c r="P36" s="198"/>
      <c r="Q36" s="198"/>
      <c r="R36" s="198"/>
    </row>
    <row r="37" spans="1:18" ht="15">
      <c r="A37" s="237"/>
      <c r="B37" s="238"/>
      <c r="C37" s="239" t="s">
        <v>36</v>
      </c>
      <c r="D37" s="239" t="s">
        <v>25</v>
      </c>
      <c r="E37" s="239">
        <v>1.3</v>
      </c>
      <c r="F37" s="239">
        <f>E37*F35</f>
        <v>5.2</v>
      </c>
      <c r="G37" s="239"/>
      <c r="H37" s="239"/>
      <c r="I37" s="239"/>
      <c r="J37" s="239"/>
      <c r="K37" s="239"/>
      <c r="L37" s="240">
        <f t="shared" ref="L37" si="22">K37*F37</f>
        <v>0</v>
      </c>
      <c r="M37" s="240">
        <f t="shared" si="21"/>
        <v>0</v>
      </c>
      <c r="N37" s="198"/>
      <c r="O37" s="198"/>
      <c r="P37" s="198"/>
      <c r="Q37" s="198"/>
      <c r="R37" s="198"/>
    </row>
    <row r="38" spans="1:18" ht="15">
      <c r="A38" s="237"/>
      <c r="B38" s="238" t="s">
        <v>1021</v>
      </c>
      <c r="C38" s="239" t="s">
        <v>774</v>
      </c>
      <c r="D38" s="239" t="s">
        <v>268</v>
      </c>
      <c r="E38" s="239">
        <v>1</v>
      </c>
      <c r="F38" s="239">
        <f>E38*F35</f>
        <v>4</v>
      </c>
      <c r="G38" s="240"/>
      <c r="H38" s="240">
        <f t="shared" ref="H38:H40" si="23">G38*F38</f>
        <v>0</v>
      </c>
      <c r="I38" s="239"/>
      <c r="J38" s="239"/>
      <c r="K38" s="239"/>
      <c r="L38" s="239"/>
      <c r="M38" s="240">
        <f t="shared" si="21"/>
        <v>0</v>
      </c>
      <c r="N38" s="198"/>
      <c r="O38" s="198"/>
      <c r="P38" s="198"/>
      <c r="Q38" s="198"/>
      <c r="R38" s="198"/>
    </row>
    <row r="39" spans="1:18" ht="15">
      <c r="A39" s="237"/>
      <c r="B39" s="238"/>
      <c r="C39" s="239" t="s">
        <v>775</v>
      </c>
      <c r="D39" s="239" t="s">
        <v>19</v>
      </c>
      <c r="E39" s="239">
        <v>5</v>
      </c>
      <c r="F39" s="239">
        <f>E39*F35</f>
        <v>20</v>
      </c>
      <c r="G39" s="240"/>
      <c r="H39" s="240">
        <f t="shared" si="23"/>
        <v>0</v>
      </c>
      <c r="I39" s="239"/>
      <c r="J39" s="239"/>
      <c r="K39" s="239"/>
      <c r="L39" s="239"/>
      <c r="M39" s="240">
        <f t="shared" si="21"/>
        <v>0</v>
      </c>
      <c r="N39" s="198"/>
      <c r="O39" s="198"/>
      <c r="P39" s="198"/>
      <c r="Q39" s="198"/>
      <c r="R39" s="198"/>
    </row>
    <row r="40" spans="1:18" ht="15">
      <c r="A40" s="237"/>
      <c r="B40" s="238"/>
      <c r="C40" s="239" t="s">
        <v>21</v>
      </c>
      <c r="D40" s="239" t="s">
        <v>25</v>
      </c>
      <c r="E40" s="239">
        <v>3.24</v>
      </c>
      <c r="F40" s="239">
        <f>E40*F35</f>
        <v>12.96</v>
      </c>
      <c r="G40" s="239"/>
      <c r="H40" s="240">
        <f t="shared" si="23"/>
        <v>0</v>
      </c>
      <c r="I40" s="239"/>
      <c r="J40" s="239"/>
      <c r="K40" s="239"/>
      <c r="L40" s="239"/>
      <c r="M40" s="240">
        <f t="shared" si="21"/>
        <v>0</v>
      </c>
      <c r="N40" s="198"/>
      <c r="O40" s="198"/>
      <c r="P40" s="198"/>
      <c r="Q40" s="198"/>
      <c r="R40" s="198"/>
    </row>
    <row r="41" spans="1:18" ht="30">
      <c r="A41" s="237">
        <v>7</v>
      </c>
      <c r="B41" s="238" t="s">
        <v>289</v>
      </c>
      <c r="C41" s="237" t="s">
        <v>776</v>
      </c>
      <c r="D41" s="237" t="s">
        <v>268</v>
      </c>
      <c r="E41" s="239"/>
      <c r="F41" s="239">
        <v>1</v>
      </c>
      <c r="G41" s="239"/>
      <c r="H41" s="239"/>
      <c r="I41" s="239"/>
      <c r="J41" s="239"/>
      <c r="K41" s="239"/>
      <c r="L41" s="239"/>
      <c r="M41" s="239"/>
      <c r="N41" s="198"/>
      <c r="O41" s="198"/>
      <c r="P41" s="198"/>
      <c r="Q41" s="198"/>
      <c r="R41" s="198"/>
    </row>
    <row r="42" spans="1:18" ht="15">
      <c r="A42" s="237"/>
      <c r="B42" s="238"/>
      <c r="C42" s="239" t="s">
        <v>180</v>
      </c>
      <c r="D42" s="239" t="s">
        <v>18</v>
      </c>
      <c r="E42" s="239">
        <v>1</v>
      </c>
      <c r="F42" s="239">
        <f>E42*F41</f>
        <v>1</v>
      </c>
      <c r="G42" s="239"/>
      <c r="H42" s="239"/>
      <c r="I42" s="239"/>
      <c r="J42" s="239">
        <f t="shared" ref="J42" si="24">I42*F42</f>
        <v>0</v>
      </c>
      <c r="K42" s="239"/>
      <c r="L42" s="239"/>
      <c r="M42" s="239">
        <f t="shared" ref="M42:M45" si="25">L42+J42+H42</f>
        <v>0</v>
      </c>
      <c r="N42" s="198"/>
      <c r="O42" s="198"/>
      <c r="P42" s="198"/>
      <c r="Q42" s="198"/>
      <c r="R42" s="198"/>
    </row>
    <row r="43" spans="1:18" ht="15">
      <c r="A43" s="237"/>
      <c r="B43" s="238"/>
      <c r="C43" s="239" t="s">
        <v>36</v>
      </c>
      <c r="D43" s="239" t="s">
        <v>25</v>
      </c>
      <c r="E43" s="239">
        <v>0.39</v>
      </c>
      <c r="F43" s="239">
        <f>E43*F41</f>
        <v>0.39</v>
      </c>
      <c r="G43" s="239"/>
      <c r="H43" s="239"/>
      <c r="I43" s="239"/>
      <c r="J43" s="239"/>
      <c r="K43" s="239"/>
      <c r="L43" s="240">
        <f t="shared" ref="L43" si="26">K43*F43</f>
        <v>0</v>
      </c>
      <c r="M43" s="240">
        <f t="shared" si="25"/>
        <v>0</v>
      </c>
      <c r="N43" s="198"/>
      <c r="O43" s="198"/>
      <c r="P43" s="198"/>
      <c r="Q43" s="198"/>
      <c r="R43" s="198"/>
    </row>
    <row r="44" spans="1:18" ht="15">
      <c r="A44" s="237"/>
      <c r="B44" s="238"/>
      <c r="C44" s="239" t="s">
        <v>777</v>
      </c>
      <c r="D44" s="239" t="s">
        <v>19</v>
      </c>
      <c r="E44" s="239">
        <v>1</v>
      </c>
      <c r="F44" s="239">
        <f>E44*F41</f>
        <v>1</v>
      </c>
      <c r="G44" s="240"/>
      <c r="H44" s="240">
        <f t="shared" ref="H44:H45" si="27">G44*F44</f>
        <v>0</v>
      </c>
      <c r="I44" s="239"/>
      <c r="J44" s="239"/>
      <c r="K44" s="239"/>
      <c r="L44" s="239"/>
      <c r="M44" s="240">
        <f t="shared" si="25"/>
        <v>0</v>
      </c>
      <c r="N44" s="198"/>
      <c r="O44" s="198"/>
      <c r="P44" s="198"/>
      <c r="Q44" s="198"/>
      <c r="R44" s="198"/>
    </row>
    <row r="45" spans="1:18" ht="15">
      <c r="A45" s="237"/>
      <c r="B45" s="238"/>
      <c r="C45" s="239" t="s">
        <v>21</v>
      </c>
      <c r="D45" s="239" t="s">
        <v>25</v>
      </c>
      <c r="E45" s="239">
        <v>1.58</v>
      </c>
      <c r="F45" s="239">
        <f>E45*F41</f>
        <v>1.58</v>
      </c>
      <c r="G45" s="239"/>
      <c r="H45" s="240">
        <f t="shared" si="27"/>
        <v>0</v>
      </c>
      <c r="I45" s="239"/>
      <c r="J45" s="239"/>
      <c r="K45" s="239"/>
      <c r="L45" s="239"/>
      <c r="M45" s="240">
        <f t="shared" si="25"/>
        <v>0</v>
      </c>
      <c r="N45" s="198"/>
      <c r="O45" s="198"/>
      <c r="P45" s="198"/>
      <c r="Q45" s="198"/>
      <c r="R45" s="198"/>
    </row>
    <row r="46" spans="1:18" ht="30">
      <c r="A46" s="237">
        <v>8</v>
      </c>
      <c r="B46" s="238" t="s">
        <v>778</v>
      </c>
      <c r="C46" s="237" t="s">
        <v>779</v>
      </c>
      <c r="D46" s="237" t="s">
        <v>268</v>
      </c>
      <c r="E46" s="239"/>
      <c r="F46" s="239">
        <v>2</v>
      </c>
      <c r="G46" s="239"/>
      <c r="H46" s="239"/>
      <c r="I46" s="239"/>
      <c r="J46" s="239"/>
      <c r="K46" s="239"/>
      <c r="L46" s="239"/>
      <c r="M46" s="239"/>
      <c r="N46" s="198"/>
      <c r="O46" s="198"/>
      <c r="P46" s="198"/>
      <c r="Q46" s="198"/>
      <c r="R46" s="198"/>
    </row>
    <row r="47" spans="1:18" ht="15">
      <c r="A47" s="237"/>
      <c r="B47" s="238"/>
      <c r="C47" s="239" t="s">
        <v>180</v>
      </c>
      <c r="D47" s="239" t="s">
        <v>18</v>
      </c>
      <c r="E47" s="239">
        <v>1</v>
      </c>
      <c r="F47" s="239">
        <f>E47*F46</f>
        <v>2</v>
      </c>
      <c r="G47" s="239"/>
      <c r="H47" s="239"/>
      <c r="I47" s="239"/>
      <c r="J47" s="239">
        <f t="shared" ref="J47" si="28">I47*F47</f>
        <v>0</v>
      </c>
      <c r="K47" s="239"/>
      <c r="L47" s="239"/>
      <c r="M47" s="239">
        <f t="shared" ref="M47:M50" si="29">L47+J47+H47</f>
        <v>0</v>
      </c>
      <c r="N47" s="198"/>
      <c r="O47" s="198"/>
      <c r="P47" s="198"/>
      <c r="Q47" s="198"/>
      <c r="R47" s="198"/>
    </row>
    <row r="48" spans="1:18" ht="15">
      <c r="A48" s="237"/>
      <c r="B48" s="238"/>
      <c r="C48" s="239" t="s">
        <v>36</v>
      </c>
      <c r="D48" s="239" t="s">
        <v>25</v>
      </c>
      <c r="E48" s="239">
        <v>0.22</v>
      </c>
      <c r="F48" s="239">
        <f>E48*F46</f>
        <v>0.44</v>
      </c>
      <c r="G48" s="239"/>
      <c r="H48" s="239"/>
      <c r="I48" s="239"/>
      <c r="J48" s="239"/>
      <c r="K48" s="239"/>
      <c r="L48" s="240">
        <f t="shared" ref="L48" si="30">K48*F48</f>
        <v>0</v>
      </c>
      <c r="M48" s="240">
        <f t="shared" si="29"/>
        <v>0</v>
      </c>
      <c r="N48" s="198"/>
      <c r="O48" s="198"/>
      <c r="P48" s="198"/>
      <c r="Q48" s="198"/>
      <c r="R48" s="198"/>
    </row>
    <row r="49" spans="1:18" ht="15">
      <c r="A49" s="237"/>
      <c r="B49" s="238"/>
      <c r="C49" s="239" t="s">
        <v>780</v>
      </c>
      <c r="D49" s="239" t="s">
        <v>19</v>
      </c>
      <c r="E49" s="239">
        <v>1</v>
      </c>
      <c r="F49" s="239">
        <f>E49*F46</f>
        <v>2</v>
      </c>
      <c r="G49" s="240"/>
      <c r="H49" s="240">
        <f t="shared" ref="H49:H50" si="31">G49*F49</f>
        <v>0</v>
      </c>
      <c r="I49" s="239"/>
      <c r="J49" s="239"/>
      <c r="K49" s="239"/>
      <c r="L49" s="239"/>
      <c r="M49" s="240">
        <f t="shared" si="29"/>
        <v>0</v>
      </c>
      <c r="N49" s="198"/>
      <c r="O49" s="198"/>
      <c r="P49" s="198"/>
      <c r="Q49" s="198"/>
      <c r="R49" s="198"/>
    </row>
    <row r="50" spans="1:18" ht="15">
      <c r="A50" s="237"/>
      <c r="B50" s="238"/>
      <c r="C50" s="239" t="s">
        <v>21</v>
      </c>
      <c r="D50" s="239" t="s">
        <v>25</v>
      </c>
      <c r="E50" s="239">
        <v>0.22</v>
      </c>
      <c r="F50" s="239">
        <f>E50*F46</f>
        <v>0.44</v>
      </c>
      <c r="G50" s="239"/>
      <c r="H50" s="240">
        <f t="shared" si="31"/>
        <v>0</v>
      </c>
      <c r="I50" s="239"/>
      <c r="J50" s="239"/>
      <c r="K50" s="239"/>
      <c r="L50" s="239"/>
      <c r="M50" s="240">
        <f t="shared" si="29"/>
        <v>0</v>
      </c>
      <c r="N50" s="198"/>
      <c r="O50" s="198"/>
      <c r="P50" s="198"/>
      <c r="Q50" s="198"/>
      <c r="R50" s="198"/>
    </row>
    <row r="51" spans="1:18" ht="15">
      <c r="A51" s="237">
        <v>9</v>
      </c>
      <c r="B51" s="238" t="s">
        <v>781</v>
      </c>
      <c r="C51" s="237" t="s">
        <v>782</v>
      </c>
      <c r="D51" s="237" t="s">
        <v>783</v>
      </c>
      <c r="E51" s="239"/>
      <c r="F51" s="239">
        <v>1314</v>
      </c>
      <c r="G51" s="239"/>
      <c r="H51" s="239"/>
      <c r="I51" s="239"/>
      <c r="J51" s="239"/>
      <c r="K51" s="239"/>
      <c r="L51" s="239"/>
      <c r="M51" s="239"/>
      <c r="N51" s="198"/>
      <c r="O51" s="198"/>
      <c r="P51" s="198"/>
      <c r="Q51" s="198"/>
      <c r="R51" s="198"/>
    </row>
    <row r="52" spans="1:18" ht="15">
      <c r="A52" s="237"/>
      <c r="B52" s="238"/>
      <c r="C52" s="239" t="s">
        <v>180</v>
      </c>
      <c r="D52" s="239" t="s">
        <v>18</v>
      </c>
      <c r="E52" s="239">
        <v>1</v>
      </c>
      <c r="F52" s="239">
        <f>E52*F51</f>
        <v>1314</v>
      </c>
      <c r="G52" s="239"/>
      <c r="H52" s="239"/>
      <c r="I52" s="239"/>
      <c r="J52" s="239">
        <f t="shared" ref="J52" si="32">I52*F52</f>
        <v>0</v>
      </c>
      <c r="K52" s="239"/>
      <c r="L52" s="239"/>
      <c r="M52" s="239">
        <f t="shared" ref="M52:M55" si="33">L52+J52+H52</f>
        <v>0</v>
      </c>
      <c r="N52" s="198"/>
      <c r="O52" s="198"/>
      <c r="P52" s="198"/>
      <c r="Q52" s="198"/>
      <c r="R52" s="198"/>
    </row>
    <row r="53" spans="1:18" ht="15">
      <c r="A53" s="237"/>
      <c r="B53" s="238"/>
      <c r="C53" s="239" t="s">
        <v>36</v>
      </c>
      <c r="D53" s="239" t="s">
        <v>25</v>
      </c>
      <c r="E53" s="239">
        <v>6.3299999999999995E-2</v>
      </c>
      <c r="F53" s="239">
        <f>E53*F51</f>
        <v>83.176199999999994</v>
      </c>
      <c r="G53" s="239"/>
      <c r="H53" s="239"/>
      <c r="I53" s="239"/>
      <c r="J53" s="239"/>
      <c r="K53" s="239"/>
      <c r="L53" s="240">
        <f t="shared" ref="L53" si="34">K53*F53</f>
        <v>0</v>
      </c>
      <c r="M53" s="240">
        <f t="shared" si="33"/>
        <v>0</v>
      </c>
      <c r="N53" s="198"/>
      <c r="O53" s="198"/>
      <c r="P53" s="198"/>
      <c r="Q53" s="198"/>
      <c r="R53" s="198"/>
    </row>
    <row r="54" spans="1:18" ht="15">
      <c r="A54" s="237"/>
      <c r="B54" s="238"/>
      <c r="C54" s="239" t="s">
        <v>784</v>
      </c>
      <c r="D54" s="239" t="s">
        <v>783</v>
      </c>
      <c r="E54" s="239">
        <v>1</v>
      </c>
      <c r="F54" s="239">
        <f>E54*F51</f>
        <v>1314</v>
      </c>
      <c r="G54" s="240"/>
      <c r="H54" s="240">
        <f t="shared" ref="H54:H55" si="35">G54*F54</f>
        <v>0</v>
      </c>
      <c r="I54" s="239"/>
      <c r="J54" s="239"/>
      <c r="K54" s="239"/>
      <c r="L54" s="239"/>
      <c r="M54" s="240">
        <f t="shared" si="33"/>
        <v>0</v>
      </c>
      <c r="N54" s="198"/>
      <c r="O54" s="198"/>
      <c r="P54" s="198"/>
      <c r="Q54" s="198"/>
      <c r="R54" s="198"/>
    </row>
    <row r="55" spans="1:18" ht="15">
      <c r="A55" s="237"/>
      <c r="B55" s="238"/>
      <c r="C55" s="239" t="s">
        <v>21</v>
      </c>
      <c r="D55" s="239" t="s">
        <v>25</v>
      </c>
      <c r="E55" s="239">
        <v>2.8E-3</v>
      </c>
      <c r="F55" s="239">
        <f>E55*F51</f>
        <v>3.6791999999999998</v>
      </c>
      <c r="G55" s="239"/>
      <c r="H55" s="240">
        <f t="shared" si="35"/>
        <v>0</v>
      </c>
      <c r="I55" s="239"/>
      <c r="J55" s="239"/>
      <c r="K55" s="239"/>
      <c r="L55" s="239"/>
      <c r="M55" s="240">
        <f t="shared" si="33"/>
        <v>0</v>
      </c>
      <c r="N55" s="198"/>
      <c r="O55" s="198"/>
      <c r="P55" s="198"/>
      <c r="Q55" s="198"/>
      <c r="R55" s="198"/>
    </row>
    <row r="56" spans="1:18" ht="15">
      <c r="A56" s="237">
        <v>10</v>
      </c>
      <c r="B56" s="238" t="s">
        <v>251</v>
      </c>
      <c r="C56" s="237" t="s">
        <v>785</v>
      </c>
      <c r="D56" s="237" t="s">
        <v>19</v>
      </c>
      <c r="E56" s="239"/>
      <c r="F56" s="239">
        <f>320+160+500+340</f>
        <v>1320</v>
      </c>
      <c r="G56" s="239"/>
      <c r="H56" s="239"/>
      <c r="I56" s="239"/>
      <c r="J56" s="239"/>
      <c r="K56" s="239"/>
      <c r="L56" s="239"/>
      <c r="M56" s="239"/>
      <c r="N56" s="198"/>
      <c r="O56" s="198"/>
      <c r="P56" s="198"/>
      <c r="Q56" s="198"/>
      <c r="R56" s="198"/>
    </row>
    <row r="57" spans="1:18" ht="15">
      <c r="A57" s="237"/>
      <c r="B57" s="238"/>
      <c r="C57" s="239" t="s">
        <v>180</v>
      </c>
      <c r="D57" s="239" t="s">
        <v>18</v>
      </c>
      <c r="E57" s="239">
        <v>1</v>
      </c>
      <c r="F57" s="239">
        <f>E57*F56</f>
        <v>1320</v>
      </c>
      <c r="G57" s="239"/>
      <c r="H57" s="239"/>
      <c r="I57" s="239"/>
      <c r="J57" s="239">
        <f t="shared" ref="J57" si="36">I57*F57</f>
        <v>0</v>
      </c>
      <c r="K57" s="239"/>
      <c r="L57" s="239"/>
      <c r="M57" s="239">
        <f t="shared" ref="M57:M64" si="37">L57+J57+H57</f>
        <v>0</v>
      </c>
      <c r="N57" s="198"/>
      <c r="O57" s="198"/>
      <c r="P57" s="198"/>
      <c r="Q57" s="198"/>
      <c r="R57" s="198"/>
    </row>
    <row r="58" spans="1:18" ht="15">
      <c r="A58" s="237"/>
      <c r="B58" s="238"/>
      <c r="C58" s="239" t="s">
        <v>36</v>
      </c>
      <c r="D58" s="239" t="s">
        <v>25</v>
      </c>
      <c r="E58" s="239">
        <v>0.13</v>
      </c>
      <c r="F58" s="239">
        <f>E58*F56</f>
        <v>171.6</v>
      </c>
      <c r="G58" s="239"/>
      <c r="H58" s="239"/>
      <c r="I58" s="239"/>
      <c r="J58" s="239"/>
      <c r="K58" s="239"/>
      <c r="L58" s="240">
        <f t="shared" ref="L58" si="38">K58*F58</f>
        <v>0</v>
      </c>
      <c r="M58" s="240">
        <f t="shared" si="37"/>
        <v>0</v>
      </c>
      <c r="N58" s="198"/>
      <c r="O58" s="198"/>
      <c r="P58" s="198"/>
      <c r="Q58" s="198"/>
      <c r="R58" s="198"/>
    </row>
    <row r="59" spans="1:18" ht="15">
      <c r="A59" s="237"/>
      <c r="B59" s="238"/>
      <c r="C59" s="239" t="s">
        <v>786</v>
      </c>
      <c r="D59" s="239" t="s">
        <v>19</v>
      </c>
      <c r="E59" s="239">
        <v>1</v>
      </c>
      <c r="F59" s="239">
        <f>E59*F56</f>
        <v>1320</v>
      </c>
      <c r="G59" s="240"/>
      <c r="H59" s="240">
        <f t="shared" ref="H59:H64" si="39">G59*F59</f>
        <v>0</v>
      </c>
      <c r="I59" s="239"/>
      <c r="J59" s="239"/>
      <c r="K59" s="239"/>
      <c r="L59" s="239"/>
      <c r="M59" s="240">
        <f t="shared" si="37"/>
        <v>0</v>
      </c>
      <c r="N59" s="198"/>
      <c r="O59" s="198"/>
      <c r="P59" s="198"/>
      <c r="Q59" s="198"/>
      <c r="R59" s="198"/>
    </row>
    <row r="60" spans="1:18" ht="15">
      <c r="A60" s="237"/>
      <c r="B60" s="238"/>
      <c r="C60" s="239" t="s">
        <v>787</v>
      </c>
      <c r="D60" s="239" t="s">
        <v>19</v>
      </c>
      <c r="E60" s="239"/>
      <c r="F60" s="239">
        <v>160</v>
      </c>
      <c r="G60" s="240"/>
      <c r="H60" s="240">
        <f t="shared" si="39"/>
        <v>0</v>
      </c>
      <c r="I60" s="239"/>
      <c r="J60" s="239"/>
      <c r="K60" s="239"/>
      <c r="L60" s="239"/>
      <c r="M60" s="240">
        <f t="shared" si="37"/>
        <v>0</v>
      </c>
      <c r="N60" s="198"/>
      <c r="O60" s="198"/>
      <c r="P60" s="198"/>
      <c r="Q60" s="198"/>
      <c r="R60" s="198"/>
    </row>
    <row r="61" spans="1:18" ht="15">
      <c r="A61" s="237"/>
      <c r="B61" s="238"/>
      <c r="C61" s="239" t="s">
        <v>789</v>
      </c>
      <c r="D61" s="239" t="s">
        <v>19</v>
      </c>
      <c r="E61" s="239"/>
      <c r="F61" s="239">
        <v>160</v>
      </c>
      <c r="G61" s="240"/>
      <c r="H61" s="240">
        <f t="shared" si="39"/>
        <v>0</v>
      </c>
      <c r="I61" s="239"/>
      <c r="J61" s="239"/>
      <c r="K61" s="239"/>
      <c r="L61" s="239"/>
      <c r="M61" s="240">
        <f t="shared" si="37"/>
        <v>0</v>
      </c>
      <c r="N61" s="198"/>
      <c r="O61" s="198"/>
      <c r="P61" s="198"/>
      <c r="Q61" s="198"/>
      <c r="R61" s="198"/>
    </row>
    <row r="62" spans="1:18" ht="15">
      <c r="A62" s="237"/>
      <c r="B62" s="238"/>
      <c r="C62" s="239" t="s">
        <v>788</v>
      </c>
      <c r="D62" s="239" t="s">
        <v>19</v>
      </c>
      <c r="E62" s="239"/>
      <c r="F62" s="239">
        <v>500</v>
      </c>
      <c r="G62" s="240"/>
      <c r="H62" s="240">
        <f t="shared" si="39"/>
        <v>0</v>
      </c>
      <c r="I62" s="239"/>
      <c r="J62" s="239"/>
      <c r="K62" s="239"/>
      <c r="L62" s="239"/>
      <c r="M62" s="240">
        <f t="shared" si="37"/>
        <v>0</v>
      </c>
      <c r="N62" s="198"/>
      <c r="O62" s="198"/>
      <c r="P62" s="198"/>
      <c r="Q62" s="198"/>
      <c r="R62" s="198"/>
    </row>
    <row r="63" spans="1:18" ht="15">
      <c r="A63" s="237"/>
      <c r="B63" s="238" t="s">
        <v>791</v>
      </c>
      <c r="C63" s="239" t="s">
        <v>790</v>
      </c>
      <c r="D63" s="239" t="s">
        <v>19</v>
      </c>
      <c r="E63" s="239"/>
      <c r="F63" s="239">
        <v>340</v>
      </c>
      <c r="G63" s="240"/>
      <c r="H63" s="240">
        <f t="shared" ref="H63" si="40">G63*F63</f>
        <v>0</v>
      </c>
      <c r="I63" s="239"/>
      <c r="J63" s="239"/>
      <c r="K63" s="239"/>
      <c r="L63" s="239"/>
      <c r="M63" s="240">
        <f t="shared" ref="M63" si="41">L63+J63+H63</f>
        <v>0</v>
      </c>
      <c r="N63" s="198"/>
      <c r="O63" s="198"/>
      <c r="P63" s="198"/>
      <c r="Q63" s="198"/>
      <c r="R63" s="198"/>
    </row>
    <row r="64" spans="1:18" ht="15">
      <c r="A64" s="237"/>
      <c r="B64" s="238"/>
      <c r="C64" s="239" t="s">
        <v>21</v>
      </c>
      <c r="D64" s="239" t="s">
        <v>25</v>
      </c>
      <c r="E64" s="239">
        <v>2.8E-3</v>
      </c>
      <c r="F64" s="239">
        <f>E64*F56</f>
        <v>3.6960000000000002</v>
      </c>
      <c r="G64" s="239"/>
      <c r="H64" s="240">
        <f t="shared" si="39"/>
        <v>0</v>
      </c>
      <c r="I64" s="239"/>
      <c r="J64" s="239"/>
      <c r="K64" s="239"/>
      <c r="L64" s="239"/>
      <c r="M64" s="240">
        <f t="shared" si="37"/>
        <v>0</v>
      </c>
      <c r="N64" s="198"/>
      <c r="O64" s="198"/>
      <c r="P64" s="198"/>
      <c r="Q64" s="198"/>
      <c r="R64" s="198"/>
    </row>
    <row r="65" spans="1:18" ht="15">
      <c r="A65" s="237">
        <v>11</v>
      </c>
      <c r="B65" s="238" t="s">
        <v>792</v>
      </c>
      <c r="C65" s="237" t="s">
        <v>793</v>
      </c>
      <c r="D65" s="237" t="s">
        <v>19</v>
      </c>
      <c r="E65" s="239"/>
      <c r="F65" s="239">
        <v>160</v>
      </c>
      <c r="G65" s="239"/>
      <c r="H65" s="239"/>
      <c r="I65" s="239"/>
      <c r="J65" s="239"/>
      <c r="K65" s="239"/>
      <c r="L65" s="239"/>
      <c r="M65" s="239"/>
      <c r="N65" s="198"/>
      <c r="O65" s="198"/>
      <c r="P65" s="198"/>
      <c r="Q65" s="198"/>
      <c r="R65" s="198"/>
    </row>
    <row r="66" spans="1:18" ht="15">
      <c r="A66" s="237"/>
      <c r="B66" s="238"/>
      <c r="C66" s="239" t="s">
        <v>180</v>
      </c>
      <c r="D66" s="239" t="s">
        <v>18</v>
      </c>
      <c r="E66" s="239">
        <v>1</v>
      </c>
      <c r="F66" s="239">
        <f>E66*F65</f>
        <v>160</v>
      </c>
      <c r="G66" s="239"/>
      <c r="H66" s="239"/>
      <c r="I66" s="239"/>
      <c r="J66" s="239">
        <f t="shared" ref="J66" si="42">I66*F66</f>
        <v>0</v>
      </c>
      <c r="K66" s="239"/>
      <c r="L66" s="239"/>
      <c r="M66" s="239">
        <f t="shared" ref="M66:M69" si="43">L66+J66+H66</f>
        <v>0</v>
      </c>
      <c r="N66" s="198"/>
      <c r="O66" s="198"/>
      <c r="P66" s="198"/>
      <c r="Q66" s="198"/>
      <c r="R66" s="198"/>
    </row>
    <row r="67" spans="1:18" ht="15">
      <c r="A67" s="237"/>
      <c r="B67" s="238"/>
      <c r="C67" s="239" t="s">
        <v>36</v>
      </c>
      <c r="D67" s="239" t="s">
        <v>25</v>
      </c>
      <c r="E67" s="239">
        <v>0.13</v>
      </c>
      <c r="F67" s="239">
        <f>E67*F65</f>
        <v>20.8</v>
      </c>
      <c r="G67" s="239"/>
      <c r="H67" s="239"/>
      <c r="I67" s="239"/>
      <c r="J67" s="239"/>
      <c r="K67" s="239"/>
      <c r="L67" s="240">
        <f t="shared" ref="L67" si="44">K67*F67</f>
        <v>0</v>
      </c>
      <c r="M67" s="240">
        <f t="shared" si="43"/>
        <v>0</v>
      </c>
      <c r="N67" s="198"/>
      <c r="O67" s="198"/>
      <c r="P67" s="198"/>
      <c r="Q67" s="198"/>
      <c r="R67" s="198"/>
    </row>
    <row r="68" spans="1:18" ht="15">
      <c r="A68" s="237"/>
      <c r="B68" s="238"/>
      <c r="C68" s="239" t="s">
        <v>787</v>
      </c>
      <c r="D68" s="239" t="s">
        <v>19</v>
      </c>
      <c r="E68" s="239">
        <v>1</v>
      </c>
      <c r="F68" s="239">
        <f>E68*F65</f>
        <v>160</v>
      </c>
      <c r="G68" s="240"/>
      <c r="H68" s="240">
        <f t="shared" ref="H68:H69" si="45">G68*F68</f>
        <v>0</v>
      </c>
      <c r="I68" s="239"/>
      <c r="J68" s="239"/>
      <c r="K68" s="239"/>
      <c r="L68" s="239"/>
      <c r="M68" s="240">
        <f t="shared" si="43"/>
        <v>0</v>
      </c>
      <c r="N68" s="198"/>
      <c r="O68" s="198"/>
      <c r="P68" s="198"/>
      <c r="Q68" s="198"/>
      <c r="R68" s="198"/>
    </row>
    <row r="69" spans="1:18" ht="15">
      <c r="A69" s="237"/>
      <c r="B69" s="238"/>
      <c r="C69" s="239" t="s">
        <v>21</v>
      </c>
      <c r="D69" s="239" t="s">
        <v>25</v>
      </c>
      <c r="E69" s="239">
        <v>2.8E-3</v>
      </c>
      <c r="F69" s="239">
        <f>E69*F65</f>
        <v>0.44800000000000001</v>
      </c>
      <c r="G69" s="239"/>
      <c r="H69" s="240">
        <f t="shared" si="45"/>
        <v>0</v>
      </c>
      <c r="I69" s="239"/>
      <c r="J69" s="239"/>
      <c r="K69" s="239"/>
      <c r="L69" s="239"/>
      <c r="M69" s="240">
        <f t="shared" si="43"/>
        <v>0</v>
      </c>
      <c r="N69" s="198"/>
      <c r="O69" s="198"/>
      <c r="P69" s="198"/>
      <c r="Q69" s="198"/>
      <c r="R69" s="198"/>
    </row>
    <row r="70" spans="1:18" ht="15">
      <c r="A70" s="237">
        <v>12</v>
      </c>
      <c r="B70" s="238"/>
      <c r="C70" s="237" t="s">
        <v>878</v>
      </c>
      <c r="D70" s="237" t="s">
        <v>268</v>
      </c>
      <c r="E70" s="239"/>
      <c r="F70" s="239">
        <v>55</v>
      </c>
      <c r="G70" s="239"/>
      <c r="H70" s="239"/>
      <c r="I70" s="239"/>
      <c r="J70" s="239"/>
      <c r="K70" s="239"/>
      <c r="L70" s="239"/>
      <c r="M70" s="239"/>
      <c r="N70" s="198"/>
      <c r="O70" s="198"/>
      <c r="P70" s="198"/>
      <c r="Q70" s="198"/>
      <c r="R70" s="198"/>
    </row>
    <row r="71" spans="1:18" ht="15">
      <c r="A71" s="237"/>
      <c r="B71" s="238"/>
      <c r="C71" s="239" t="s">
        <v>180</v>
      </c>
      <c r="D71" s="239" t="s">
        <v>18</v>
      </c>
      <c r="E71" s="239">
        <v>1</v>
      </c>
      <c r="F71" s="239">
        <f>E71*F70</f>
        <v>55</v>
      </c>
      <c r="G71" s="239"/>
      <c r="H71" s="239"/>
      <c r="I71" s="239"/>
      <c r="J71" s="239">
        <f t="shared" ref="J71" si="46">I71*F71</f>
        <v>0</v>
      </c>
      <c r="K71" s="239"/>
      <c r="L71" s="239"/>
      <c r="M71" s="239">
        <f t="shared" ref="M71:M72" si="47">L71+J71+H71</f>
        <v>0</v>
      </c>
      <c r="N71" s="198"/>
      <c r="O71" s="198"/>
      <c r="P71" s="198"/>
      <c r="Q71" s="198"/>
      <c r="R71" s="198"/>
    </row>
    <row r="72" spans="1:18" ht="15">
      <c r="A72" s="237"/>
      <c r="B72" s="238"/>
      <c r="C72" s="239" t="s">
        <v>784</v>
      </c>
      <c r="D72" s="239" t="s">
        <v>783</v>
      </c>
      <c r="E72" s="239">
        <v>1</v>
      </c>
      <c r="F72" s="239">
        <f>E72*F70</f>
        <v>55</v>
      </c>
      <c r="G72" s="240"/>
      <c r="H72" s="240">
        <f t="shared" ref="H72" si="48">G72*F72</f>
        <v>0</v>
      </c>
      <c r="I72" s="239"/>
      <c r="J72" s="239"/>
      <c r="K72" s="239"/>
      <c r="L72" s="239"/>
      <c r="M72" s="240">
        <f t="shared" si="47"/>
        <v>0</v>
      </c>
      <c r="N72" s="198"/>
      <c r="O72" s="198"/>
      <c r="P72" s="198"/>
      <c r="Q72" s="198"/>
      <c r="R72" s="198"/>
    </row>
    <row r="73" spans="1:18" ht="33" customHeight="1">
      <c r="A73" s="237"/>
      <c r="B73" s="238"/>
      <c r="C73" s="377" t="s">
        <v>794</v>
      </c>
      <c r="D73" s="239"/>
      <c r="E73" s="239"/>
      <c r="F73" s="239"/>
      <c r="G73" s="239"/>
      <c r="H73" s="240"/>
      <c r="I73" s="239"/>
      <c r="J73" s="239"/>
      <c r="K73" s="239"/>
      <c r="L73" s="239"/>
      <c r="M73" s="240"/>
      <c r="N73" s="198"/>
      <c r="O73" s="198"/>
      <c r="P73" s="198"/>
      <c r="Q73" s="198"/>
      <c r="R73" s="198"/>
    </row>
    <row r="74" spans="1:18" ht="30">
      <c r="A74" s="237">
        <v>13</v>
      </c>
      <c r="B74" s="238" t="s">
        <v>321</v>
      </c>
      <c r="C74" s="237" t="s">
        <v>795</v>
      </c>
      <c r="D74" s="237" t="s">
        <v>99</v>
      </c>
      <c r="E74" s="239"/>
      <c r="F74" s="239">
        <v>1800</v>
      </c>
      <c r="G74" s="239"/>
      <c r="H74" s="239"/>
      <c r="I74" s="239"/>
      <c r="J74" s="239"/>
      <c r="K74" s="239"/>
      <c r="L74" s="239"/>
      <c r="M74" s="239"/>
      <c r="N74" s="198"/>
      <c r="O74" s="198"/>
      <c r="P74" s="198"/>
      <c r="Q74" s="198"/>
      <c r="R74" s="198"/>
    </row>
    <row r="75" spans="1:18" ht="15">
      <c r="A75" s="237"/>
      <c r="B75" s="238"/>
      <c r="C75" s="239" t="s">
        <v>180</v>
      </c>
      <c r="D75" s="239" t="s">
        <v>18</v>
      </c>
      <c r="E75" s="239">
        <v>1</v>
      </c>
      <c r="F75" s="239">
        <f>E75*F74</f>
        <v>1800</v>
      </c>
      <c r="G75" s="239"/>
      <c r="H75" s="239"/>
      <c r="I75" s="239"/>
      <c r="J75" s="239">
        <f t="shared" ref="J75" si="49">I75*F75</f>
        <v>0</v>
      </c>
      <c r="K75" s="239"/>
      <c r="L75" s="239"/>
      <c r="M75" s="239">
        <f t="shared" ref="M75:M78" si="50">L75+J75+H75</f>
        <v>0</v>
      </c>
      <c r="N75" s="198"/>
      <c r="O75" s="198"/>
      <c r="P75" s="198"/>
      <c r="Q75" s="198"/>
      <c r="R75" s="198"/>
    </row>
    <row r="76" spans="1:18" ht="15">
      <c r="A76" s="237"/>
      <c r="B76" s="238"/>
      <c r="C76" s="239" t="s">
        <v>36</v>
      </c>
      <c r="D76" s="239" t="s">
        <v>25</v>
      </c>
      <c r="E76" s="239">
        <v>2.5700000000000001E-2</v>
      </c>
      <c r="F76" s="239">
        <f>E76*F74</f>
        <v>46.26</v>
      </c>
      <c r="G76" s="239"/>
      <c r="H76" s="239"/>
      <c r="I76" s="239"/>
      <c r="J76" s="239"/>
      <c r="K76" s="239"/>
      <c r="L76" s="240">
        <f t="shared" ref="L76" si="51">K76*F76</f>
        <v>0</v>
      </c>
      <c r="M76" s="240">
        <f t="shared" si="50"/>
        <v>0</v>
      </c>
      <c r="N76" s="198"/>
      <c r="O76" s="198"/>
      <c r="P76" s="198"/>
      <c r="Q76" s="198"/>
      <c r="R76" s="198"/>
    </row>
    <row r="77" spans="1:18" ht="15">
      <c r="A77" s="237"/>
      <c r="B77" s="238" t="s">
        <v>796</v>
      </c>
      <c r="C77" s="239" t="s">
        <v>797</v>
      </c>
      <c r="D77" s="239" t="s">
        <v>19</v>
      </c>
      <c r="E77" s="239">
        <v>1</v>
      </c>
      <c r="F77" s="239">
        <f>E77*F74</f>
        <v>1800</v>
      </c>
      <c r="G77" s="240"/>
      <c r="H77" s="240">
        <f t="shared" ref="H77:H78" si="52">G77*F77</f>
        <v>0</v>
      </c>
      <c r="I77" s="239"/>
      <c r="J77" s="239"/>
      <c r="K77" s="239"/>
      <c r="L77" s="239"/>
      <c r="M77" s="240">
        <f t="shared" si="50"/>
        <v>0</v>
      </c>
      <c r="N77" s="198"/>
      <c r="O77" s="198"/>
      <c r="P77" s="198"/>
      <c r="Q77" s="198"/>
      <c r="R77" s="198"/>
    </row>
    <row r="78" spans="1:18" ht="15">
      <c r="A78" s="237"/>
      <c r="B78" s="238"/>
      <c r="C78" s="239" t="s">
        <v>21</v>
      </c>
      <c r="D78" s="239" t="s">
        <v>25</v>
      </c>
      <c r="E78" s="239">
        <v>4.5699999999999998E-2</v>
      </c>
      <c r="F78" s="239">
        <f>E78*F74</f>
        <v>82.259999999999991</v>
      </c>
      <c r="G78" s="239"/>
      <c r="H78" s="240">
        <f t="shared" si="52"/>
        <v>0</v>
      </c>
      <c r="I78" s="239"/>
      <c r="J78" s="239"/>
      <c r="K78" s="239"/>
      <c r="L78" s="239"/>
      <c r="M78" s="240">
        <f t="shared" si="50"/>
        <v>0</v>
      </c>
      <c r="N78" s="198"/>
      <c r="O78" s="198"/>
      <c r="P78" s="198"/>
      <c r="Q78" s="198"/>
      <c r="R78" s="198"/>
    </row>
    <row r="79" spans="1:18" ht="30">
      <c r="A79" s="237">
        <v>14</v>
      </c>
      <c r="B79" s="238" t="s">
        <v>321</v>
      </c>
      <c r="C79" s="237" t="s">
        <v>798</v>
      </c>
      <c r="D79" s="237" t="s">
        <v>99</v>
      </c>
      <c r="E79" s="239"/>
      <c r="F79" s="239">
        <v>1200</v>
      </c>
      <c r="G79" s="239"/>
      <c r="H79" s="239"/>
      <c r="I79" s="239"/>
      <c r="J79" s="239"/>
      <c r="K79" s="239"/>
      <c r="L79" s="239"/>
      <c r="M79" s="239"/>
      <c r="N79" s="198"/>
      <c r="O79" s="198"/>
      <c r="P79" s="198"/>
      <c r="Q79" s="198"/>
      <c r="R79" s="198"/>
    </row>
    <row r="80" spans="1:18" ht="15">
      <c r="A80" s="237"/>
      <c r="B80" s="238"/>
      <c r="C80" s="239" t="s">
        <v>180</v>
      </c>
      <c r="D80" s="239" t="s">
        <v>18</v>
      </c>
      <c r="E80" s="239">
        <v>1</v>
      </c>
      <c r="F80" s="239">
        <f>E80*F79</f>
        <v>1200</v>
      </c>
      <c r="G80" s="239"/>
      <c r="H80" s="239"/>
      <c r="I80" s="239"/>
      <c r="J80" s="239">
        <f t="shared" ref="J80" si="53">I80*F80</f>
        <v>0</v>
      </c>
      <c r="K80" s="239"/>
      <c r="L80" s="239"/>
      <c r="M80" s="239">
        <f t="shared" ref="M80:M83" si="54">L80+J80+H80</f>
        <v>0</v>
      </c>
      <c r="N80" s="198"/>
      <c r="O80" s="198"/>
      <c r="P80" s="198"/>
      <c r="Q80" s="198"/>
      <c r="R80" s="198"/>
    </row>
    <row r="81" spans="1:18" ht="15">
      <c r="A81" s="237"/>
      <c r="B81" s="238"/>
      <c r="C81" s="239" t="s">
        <v>36</v>
      </c>
      <c r="D81" s="239" t="s">
        <v>25</v>
      </c>
      <c r="E81" s="239">
        <v>2.5700000000000001E-2</v>
      </c>
      <c r="F81" s="239">
        <f>E81*F79</f>
        <v>30.84</v>
      </c>
      <c r="G81" s="239"/>
      <c r="H81" s="239"/>
      <c r="I81" s="239"/>
      <c r="J81" s="239"/>
      <c r="K81" s="239"/>
      <c r="L81" s="240">
        <f t="shared" ref="L81" si="55">K81*F81</f>
        <v>0</v>
      </c>
      <c r="M81" s="240">
        <f t="shared" si="54"/>
        <v>0</v>
      </c>
      <c r="N81" s="198"/>
      <c r="O81" s="198"/>
      <c r="P81" s="198"/>
      <c r="Q81" s="198"/>
      <c r="R81" s="198"/>
    </row>
    <row r="82" spans="1:18" ht="15">
      <c r="A82" s="237"/>
      <c r="B82" s="238" t="s">
        <v>799</v>
      </c>
      <c r="C82" s="239" t="s">
        <v>801</v>
      </c>
      <c r="D82" s="239" t="s">
        <v>19</v>
      </c>
      <c r="E82" s="239">
        <v>1</v>
      </c>
      <c r="F82" s="239">
        <f>E82*F79</f>
        <v>1200</v>
      </c>
      <c r="G82" s="240"/>
      <c r="H82" s="240">
        <f t="shared" ref="H82:H83" si="56">G82*F82</f>
        <v>0</v>
      </c>
      <c r="I82" s="239"/>
      <c r="J82" s="239"/>
      <c r="K82" s="239"/>
      <c r="L82" s="239"/>
      <c r="M82" s="240">
        <f t="shared" si="54"/>
        <v>0</v>
      </c>
      <c r="N82" s="198"/>
      <c r="O82" s="198"/>
      <c r="P82" s="198"/>
      <c r="Q82" s="198"/>
      <c r="R82" s="198"/>
    </row>
    <row r="83" spans="1:18" ht="15">
      <c r="A83" s="237"/>
      <c r="B83" s="238"/>
      <c r="C83" s="239" t="s">
        <v>21</v>
      </c>
      <c r="D83" s="239" t="s">
        <v>25</v>
      </c>
      <c r="E83" s="239">
        <v>4.5699999999999998E-2</v>
      </c>
      <c r="F83" s="239">
        <f>E83*F79</f>
        <v>54.839999999999996</v>
      </c>
      <c r="G83" s="239"/>
      <c r="H83" s="240">
        <f t="shared" si="56"/>
        <v>0</v>
      </c>
      <c r="I83" s="239"/>
      <c r="J83" s="239"/>
      <c r="K83" s="239"/>
      <c r="L83" s="239"/>
      <c r="M83" s="240">
        <f t="shared" si="54"/>
        <v>0</v>
      </c>
      <c r="N83" s="198"/>
      <c r="O83" s="198"/>
      <c r="P83" s="198"/>
      <c r="Q83" s="198"/>
      <c r="R83" s="198"/>
    </row>
    <row r="84" spans="1:18" ht="30">
      <c r="A84" s="237">
        <v>15</v>
      </c>
      <c r="B84" s="238" t="s">
        <v>317</v>
      </c>
      <c r="C84" s="237" t="s">
        <v>800</v>
      </c>
      <c r="D84" s="237" t="s">
        <v>99</v>
      </c>
      <c r="E84" s="239"/>
      <c r="F84" s="239">
        <v>580</v>
      </c>
      <c r="G84" s="239"/>
      <c r="H84" s="239"/>
      <c r="I84" s="239"/>
      <c r="J84" s="239"/>
      <c r="K84" s="239"/>
      <c r="L84" s="239"/>
      <c r="M84" s="239"/>
      <c r="N84" s="198"/>
      <c r="O84" s="198"/>
      <c r="P84" s="198"/>
      <c r="Q84" s="198"/>
      <c r="R84" s="198"/>
    </row>
    <row r="85" spans="1:18" ht="15">
      <c r="A85" s="237"/>
      <c r="B85" s="238"/>
      <c r="C85" s="239" t="s">
        <v>180</v>
      </c>
      <c r="D85" s="239" t="s">
        <v>18</v>
      </c>
      <c r="E85" s="239">
        <v>1</v>
      </c>
      <c r="F85" s="239">
        <f>E85*F84</f>
        <v>580</v>
      </c>
      <c r="G85" s="239"/>
      <c r="H85" s="239"/>
      <c r="I85" s="239"/>
      <c r="J85" s="239">
        <f t="shared" ref="J85" si="57">I85*F85</f>
        <v>0</v>
      </c>
      <c r="K85" s="239"/>
      <c r="L85" s="239"/>
      <c r="M85" s="239">
        <f t="shared" ref="M85:M88" si="58">L85+J85+H85</f>
        <v>0</v>
      </c>
      <c r="N85" s="198"/>
      <c r="O85" s="198"/>
      <c r="P85" s="198"/>
      <c r="Q85" s="198"/>
      <c r="R85" s="198"/>
    </row>
    <row r="86" spans="1:18" ht="15">
      <c r="A86" s="237"/>
      <c r="B86" s="238"/>
      <c r="C86" s="239" t="s">
        <v>36</v>
      </c>
      <c r="D86" s="239" t="s">
        <v>25</v>
      </c>
      <c r="E86" s="239">
        <v>1.72E-2</v>
      </c>
      <c r="F86" s="239">
        <f>E86*F84</f>
        <v>9.9760000000000009</v>
      </c>
      <c r="G86" s="239"/>
      <c r="H86" s="239"/>
      <c r="I86" s="239"/>
      <c r="J86" s="239"/>
      <c r="K86" s="239"/>
      <c r="L86" s="240">
        <f t="shared" ref="L86" si="59">K86*F86</f>
        <v>0</v>
      </c>
      <c r="M86" s="240">
        <f t="shared" si="58"/>
        <v>0</v>
      </c>
      <c r="N86" s="198"/>
      <c r="O86" s="198"/>
      <c r="P86" s="198"/>
      <c r="Q86" s="198"/>
      <c r="R86" s="198"/>
    </row>
    <row r="87" spans="1:18" ht="15">
      <c r="A87" s="237"/>
      <c r="B87" s="238" t="s">
        <v>803</v>
      </c>
      <c r="C87" s="239" t="s">
        <v>802</v>
      </c>
      <c r="D87" s="239" t="s">
        <v>19</v>
      </c>
      <c r="E87" s="239">
        <v>1</v>
      </c>
      <c r="F87" s="239">
        <f>E87*F84</f>
        <v>580</v>
      </c>
      <c r="G87" s="240"/>
      <c r="H87" s="240">
        <f t="shared" ref="H87:H88" si="60">G87*F87</f>
        <v>0</v>
      </c>
      <c r="I87" s="239"/>
      <c r="J87" s="239"/>
      <c r="K87" s="239"/>
      <c r="L87" s="239"/>
      <c r="M87" s="240">
        <f t="shared" si="58"/>
        <v>0</v>
      </c>
      <c r="N87" s="198"/>
      <c r="O87" s="198"/>
      <c r="P87" s="198"/>
      <c r="Q87" s="198"/>
      <c r="R87" s="198"/>
    </row>
    <row r="88" spans="1:18" ht="15">
      <c r="A88" s="237"/>
      <c r="B88" s="238"/>
      <c r="C88" s="239" t="s">
        <v>21</v>
      </c>
      <c r="D88" s="239" t="s">
        <v>25</v>
      </c>
      <c r="E88" s="239">
        <v>3.9300000000000002E-2</v>
      </c>
      <c r="F88" s="239">
        <f>E88*F84</f>
        <v>22.794</v>
      </c>
      <c r="G88" s="239"/>
      <c r="H88" s="240">
        <f t="shared" si="60"/>
        <v>0</v>
      </c>
      <c r="I88" s="239"/>
      <c r="J88" s="239"/>
      <c r="K88" s="239"/>
      <c r="L88" s="239"/>
      <c r="M88" s="240">
        <f t="shared" si="58"/>
        <v>0</v>
      </c>
      <c r="N88" s="198"/>
      <c r="O88" s="198"/>
      <c r="P88" s="198"/>
      <c r="Q88" s="198"/>
      <c r="R88" s="198"/>
    </row>
    <row r="89" spans="1:18" ht="30">
      <c r="A89" s="237">
        <v>16</v>
      </c>
      <c r="B89" s="238" t="s">
        <v>313</v>
      </c>
      <c r="C89" s="237" t="s">
        <v>804</v>
      </c>
      <c r="D89" s="237" t="s">
        <v>99</v>
      </c>
      <c r="E89" s="239"/>
      <c r="F89" s="239">
        <v>220</v>
      </c>
      <c r="G89" s="239"/>
      <c r="H89" s="239"/>
      <c r="I89" s="239"/>
      <c r="J89" s="239"/>
      <c r="K89" s="239"/>
      <c r="L89" s="239"/>
      <c r="M89" s="239"/>
      <c r="N89" s="198"/>
      <c r="O89" s="198"/>
      <c r="P89" s="198"/>
      <c r="Q89" s="198"/>
      <c r="R89" s="198"/>
    </row>
    <row r="90" spans="1:18" ht="15">
      <c r="A90" s="237"/>
      <c r="B90" s="238"/>
      <c r="C90" s="239" t="s">
        <v>180</v>
      </c>
      <c r="D90" s="239" t="s">
        <v>18</v>
      </c>
      <c r="E90" s="239">
        <v>1</v>
      </c>
      <c r="F90" s="239">
        <f>E90*F89</f>
        <v>220</v>
      </c>
      <c r="G90" s="239"/>
      <c r="H90" s="239"/>
      <c r="I90" s="239"/>
      <c r="J90" s="239">
        <f t="shared" ref="J90" si="61">I90*F90</f>
        <v>0</v>
      </c>
      <c r="K90" s="239"/>
      <c r="L90" s="239"/>
      <c r="M90" s="239">
        <f t="shared" ref="M90:M93" si="62">L90+J90+H90</f>
        <v>0</v>
      </c>
      <c r="N90" s="198"/>
      <c r="O90" s="198"/>
      <c r="P90" s="198"/>
      <c r="Q90" s="198"/>
      <c r="R90" s="198"/>
    </row>
    <row r="91" spans="1:18" ht="15">
      <c r="A91" s="237"/>
      <c r="B91" s="238"/>
      <c r="C91" s="239" t="s">
        <v>36</v>
      </c>
      <c r="D91" s="239" t="s">
        <v>25</v>
      </c>
      <c r="E91" s="239">
        <v>2.1700000000000001E-2</v>
      </c>
      <c r="F91" s="239">
        <f>E91*F89</f>
        <v>4.774</v>
      </c>
      <c r="G91" s="239"/>
      <c r="H91" s="239"/>
      <c r="I91" s="239"/>
      <c r="J91" s="239"/>
      <c r="K91" s="239"/>
      <c r="L91" s="240">
        <f t="shared" ref="L91" si="63">K91*F91</f>
        <v>0</v>
      </c>
      <c r="M91" s="240">
        <f t="shared" si="62"/>
        <v>0</v>
      </c>
      <c r="N91" s="198"/>
      <c r="O91" s="198"/>
      <c r="P91" s="198"/>
      <c r="Q91" s="198"/>
      <c r="R91" s="198"/>
    </row>
    <row r="92" spans="1:18" ht="15">
      <c r="A92" s="237"/>
      <c r="B92" s="238" t="s">
        <v>806</v>
      </c>
      <c r="C92" s="239" t="s">
        <v>805</v>
      </c>
      <c r="D92" s="239" t="s">
        <v>19</v>
      </c>
      <c r="E92" s="239">
        <v>1</v>
      </c>
      <c r="F92" s="239">
        <f>E92*F89</f>
        <v>220</v>
      </c>
      <c r="G92" s="240"/>
      <c r="H92" s="240">
        <f t="shared" ref="H92:H93" si="64">G92*F92</f>
        <v>0</v>
      </c>
      <c r="I92" s="239"/>
      <c r="J92" s="239"/>
      <c r="K92" s="239"/>
      <c r="L92" s="239"/>
      <c r="M92" s="240">
        <f t="shared" si="62"/>
        <v>0</v>
      </c>
      <c r="N92" s="198"/>
      <c r="O92" s="198"/>
      <c r="P92" s="198"/>
      <c r="Q92" s="198"/>
      <c r="R92" s="198"/>
    </row>
    <row r="93" spans="1:18" ht="15">
      <c r="A93" s="237"/>
      <c r="B93" s="238"/>
      <c r="C93" s="239" t="s">
        <v>21</v>
      </c>
      <c r="D93" s="239" t="s">
        <v>25</v>
      </c>
      <c r="E93" s="239">
        <v>7.0800000000000002E-2</v>
      </c>
      <c r="F93" s="239">
        <f>E93*F89</f>
        <v>15.576000000000001</v>
      </c>
      <c r="G93" s="239"/>
      <c r="H93" s="240">
        <f t="shared" si="64"/>
        <v>0</v>
      </c>
      <c r="I93" s="239"/>
      <c r="J93" s="239"/>
      <c r="K93" s="239"/>
      <c r="L93" s="239"/>
      <c r="M93" s="240">
        <f t="shared" si="62"/>
        <v>0</v>
      </c>
      <c r="N93" s="198"/>
      <c r="O93" s="198"/>
      <c r="P93" s="198"/>
      <c r="Q93" s="198"/>
      <c r="R93" s="198"/>
    </row>
    <row r="94" spans="1:18" ht="30">
      <c r="A94" s="237">
        <v>17</v>
      </c>
      <c r="B94" s="238" t="s">
        <v>313</v>
      </c>
      <c r="C94" s="237" t="s">
        <v>807</v>
      </c>
      <c r="D94" s="237" t="s">
        <v>99</v>
      </c>
      <c r="E94" s="239"/>
      <c r="F94" s="239">
        <v>140</v>
      </c>
      <c r="G94" s="239"/>
      <c r="H94" s="239"/>
      <c r="I94" s="239"/>
      <c r="J94" s="239"/>
      <c r="K94" s="239"/>
      <c r="L94" s="239"/>
      <c r="M94" s="239"/>
      <c r="N94" s="198"/>
      <c r="O94" s="198"/>
      <c r="P94" s="198"/>
      <c r="Q94" s="198"/>
      <c r="R94" s="198"/>
    </row>
    <row r="95" spans="1:18" ht="15">
      <c r="A95" s="237"/>
      <c r="B95" s="238"/>
      <c r="C95" s="239" t="s">
        <v>180</v>
      </c>
      <c r="D95" s="239" t="s">
        <v>18</v>
      </c>
      <c r="E95" s="239">
        <v>1</v>
      </c>
      <c r="F95" s="239">
        <f>E95*F94</f>
        <v>140</v>
      </c>
      <c r="G95" s="239"/>
      <c r="H95" s="239"/>
      <c r="I95" s="239"/>
      <c r="J95" s="239">
        <f t="shared" ref="J95" si="65">I95*F95</f>
        <v>0</v>
      </c>
      <c r="K95" s="239"/>
      <c r="L95" s="239"/>
      <c r="M95" s="239">
        <f t="shared" ref="M95:M98" si="66">L95+J95+H95</f>
        <v>0</v>
      </c>
      <c r="N95" s="198"/>
      <c r="O95" s="198"/>
      <c r="P95" s="198"/>
      <c r="Q95" s="198"/>
      <c r="R95" s="198"/>
    </row>
    <row r="96" spans="1:18" ht="15">
      <c r="A96" s="237"/>
      <c r="B96" s="238"/>
      <c r="C96" s="239" t="s">
        <v>36</v>
      </c>
      <c r="D96" s="239" t="s">
        <v>25</v>
      </c>
      <c r="E96" s="239">
        <v>2.1700000000000001E-2</v>
      </c>
      <c r="F96" s="239">
        <f>E96*F94</f>
        <v>3.0380000000000003</v>
      </c>
      <c r="G96" s="239"/>
      <c r="H96" s="239"/>
      <c r="I96" s="239"/>
      <c r="J96" s="239"/>
      <c r="K96" s="239"/>
      <c r="L96" s="240">
        <f t="shared" ref="L96" si="67">K96*F96</f>
        <v>0</v>
      </c>
      <c r="M96" s="240">
        <f t="shared" si="66"/>
        <v>0</v>
      </c>
      <c r="N96" s="198"/>
      <c r="O96" s="198"/>
      <c r="P96" s="198"/>
      <c r="Q96" s="198"/>
      <c r="R96" s="198"/>
    </row>
    <row r="97" spans="1:18" ht="15">
      <c r="A97" s="237"/>
      <c r="B97" s="238" t="s">
        <v>809</v>
      </c>
      <c r="C97" s="239" t="s">
        <v>808</v>
      </c>
      <c r="D97" s="239" t="s">
        <v>19</v>
      </c>
      <c r="E97" s="239">
        <v>1</v>
      </c>
      <c r="F97" s="239">
        <f>E97*F94</f>
        <v>140</v>
      </c>
      <c r="G97" s="240"/>
      <c r="H97" s="240">
        <f t="shared" ref="H97:H98" si="68">G97*F97</f>
        <v>0</v>
      </c>
      <c r="I97" s="239"/>
      <c r="J97" s="239"/>
      <c r="K97" s="239"/>
      <c r="L97" s="239"/>
      <c r="M97" s="240">
        <f t="shared" si="66"/>
        <v>0</v>
      </c>
      <c r="N97" s="198"/>
      <c r="O97" s="198"/>
      <c r="P97" s="198"/>
      <c r="Q97" s="198"/>
      <c r="R97" s="198"/>
    </row>
    <row r="98" spans="1:18" ht="15">
      <c r="A98" s="237"/>
      <c r="B98" s="238"/>
      <c r="C98" s="239" t="s">
        <v>21</v>
      </c>
      <c r="D98" s="239" t="s">
        <v>25</v>
      </c>
      <c r="E98" s="239">
        <v>7.0800000000000002E-2</v>
      </c>
      <c r="F98" s="239">
        <f>E98*F94</f>
        <v>9.9120000000000008</v>
      </c>
      <c r="G98" s="239"/>
      <c r="H98" s="240">
        <f t="shared" si="68"/>
        <v>0</v>
      </c>
      <c r="I98" s="239"/>
      <c r="J98" s="239"/>
      <c r="K98" s="239"/>
      <c r="L98" s="239"/>
      <c r="M98" s="240">
        <f t="shared" si="66"/>
        <v>0</v>
      </c>
      <c r="N98" s="198"/>
      <c r="O98" s="198"/>
      <c r="P98" s="198"/>
      <c r="Q98" s="198"/>
      <c r="R98" s="198"/>
    </row>
    <row r="99" spans="1:18" ht="30">
      <c r="A99" s="237">
        <v>18</v>
      </c>
      <c r="B99" s="238" t="s">
        <v>306</v>
      </c>
      <c r="C99" s="237" t="s">
        <v>810</v>
      </c>
      <c r="D99" s="237" t="s">
        <v>99</v>
      </c>
      <c r="E99" s="239"/>
      <c r="F99" s="239">
        <v>220</v>
      </c>
      <c r="G99" s="239"/>
      <c r="H99" s="239"/>
      <c r="I99" s="239"/>
      <c r="J99" s="239"/>
      <c r="K99" s="239"/>
      <c r="L99" s="239"/>
      <c r="M99" s="239"/>
      <c r="N99" s="198"/>
      <c r="O99" s="198"/>
      <c r="P99" s="198"/>
      <c r="Q99" s="198"/>
      <c r="R99" s="198"/>
    </row>
    <row r="100" spans="1:18" ht="15">
      <c r="A100" s="237"/>
      <c r="B100" s="238"/>
      <c r="C100" s="239" t="s">
        <v>180</v>
      </c>
      <c r="D100" s="239" t="s">
        <v>18</v>
      </c>
      <c r="E100" s="239">
        <v>1</v>
      </c>
      <c r="F100" s="239">
        <f>E100*F99</f>
        <v>220</v>
      </c>
      <c r="G100" s="239"/>
      <c r="H100" s="239"/>
      <c r="I100" s="239"/>
      <c r="J100" s="239">
        <f t="shared" ref="J100" si="69">I100*F100</f>
        <v>0</v>
      </c>
      <c r="K100" s="239"/>
      <c r="L100" s="239"/>
      <c r="M100" s="239">
        <f t="shared" ref="M100:M103" si="70">L100+J100+H100</f>
        <v>0</v>
      </c>
      <c r="N100" s="198"/>
      <c r="O100" s="198"/>
      <c r="P100" s="198"/>
      <c r="Q100" s="198"/>
      <c r="R100" s="198"/>
    </row>
    <row r="101" spans="1:18" ht="15">
      <c r="A101" s="237"/>
      <c r="B101" s="238"/>
      <c r="C101" s="239" t="s">
        <v>36</v>
      </c>
      <c r="D101" s="239" t="s">
        <v>25</v>
      </c>
      <c r="E101" s="239">
        <v>3.1399999999999997E-2</v>
      </c>
      <c r="F101" s="239">
        <f>E101*F99</f>
        <v>6.9079999999999995</v>
      </c>
      <c r="G101" s="239"/>
      <c r="H101" s="239"/>
      <c r="I101" s="239"/>
      <c r="J101" s="239"/>
      <c r="K101" s="239"/>
      <c r="L101" s="240">
        <f t="shared" ref="L101" si="71">K101*F101</f>
        <v>0</v>
      </c>
      <c r="M101" s="240">
        <f t="shared" si="70"/>
        <v>0</v>
      </c>
      <c r="N101" s="198"/>
      <c r="O101" s="198"/>
      <c r="P101" s="198"/>
      <c r="Q101" s="198"/>
      <c r="R101" s="198"/>
    </row>
    <row r="102" spans="1:18" ht="15">
      <c r="A102" s="237"/>
      <c r="B102" s="238" t="s">
        <v>812</v>
      </c>
      <c r="C102" s="239" t="s">
        <v>811</v>
      </c>
      <c r="D102" s="239" t="s">
        <v>19</v>
      </c>
      <c r="E102" s="239">
        <v>1</v>
      </c>
      <c r="F102" s="239">
        <f>E102*F99</f>
        <v>220</v>
      </c>
      <c r="G102" s="240"/>
      <c r="H102" s="240">
        <f t="shared" ref="H102:H103" si="72">G102*F102</f>
        <v>0</v>
      </c>
      <c r="I102" s="239"/>
      <c r="J102" s="239"/>
      <c r="K102" s="239"/>
      <c r="L102" s="239"/>
      <c r="M102" s="240">
        <f t="shared" si="70"/>
        <v>0</v>
      </c>
      <c r="N102" s="198"/>
      <c r="O102" s="198"/>
      <c r="P102" s="198"/>
      <c r="Q102" s="198"/>
      <c r="R102" s="198"/>
    </row>
    <row r="103" spans="1:18" ht="15">
      <c r="A103" s="237"/>
      <c r="B103" s="238"/>
      <c r="C103" s="239" t="s">
        <v>21</v>
      </c>
      <c r="D103" s="239" t="s">
        <v>25</v>
      </c>
      <c r="E103" s="239">
        <v>6.5199999999999994E-2</v>
      </c>
      <c r="F103" s="239">
        <f>E103*F99</f>
        <v>14.343999999999999</v>
      </c>
      <c r="G103" s="239"/>
      <c r="H103" s="240">
        <f t="shared" si="72"/>
        <v>0</v>
      </c>
      <c r="I103" s="239"/>
      <c r="J103" s="239"/>
      <c r="K103" s="239"/>
      <c r="L103" s="239"/>
      <c r="M103" s="240">
        <f t="shared" si="70"/>
        <v>0</v>
      </c>
      <c r="N103" s="198"/>
      <c r="O103" s="198"/>
      <c r="P103" s="198"/>
      <c r="Q103" s="198"/>
      <c r="R103" s="198"/>
    </row>
    <row r="104" spans="1:18" ht="30">
      <c r="A104" s="237">
        <v>19</v>
      </c>
      <c r="B104" s="238" t="s">
        <v>306</v>
      </c>
      <c r="C104" s="237" t="s">
        <v>813</v>
      </c>
      <c r="D104" s="237" t="s">
        <v>99</v>
      </c>
      <c r="E104" s="239"/>
      <c r="F104" s="239">
        <v>220</v>
      </c>
      <c r="G104" s="239"/>
      <c r="H104" s="239"/>
      <c r="I104" s="239"/>
      <c r="J104" s="239"/>
      <c r="K104" s="239"/>
      <c r="L104" s="239"/>
      <c r="M104" s="239"/>
      <c r="N104" s="198"/>
      <c r="O104" s="198"/>
      <c r="P104" s="198"/>
      <c r="Q104" s="198"/>
      <c r="R104" s="198"/>
    </row>
    <row r="105" spans="1:18" ht="15">
      <c r="A105" s="237"/>
      <c r="B105" s="238"/>
      <c r="C105" s="239" t="s">
        <v>180</v>
      </c>
      <c r="D105" s="239" t="s">
        <v>18</v>
      </c>
      <c r="E105" s="239">
        <v>1</v>
      </c>
      <c r="F105" s="239">
        <f>E105*F104</f>
        <v>220</v>
      </c>
      <c r="G105" s="239"/>
      <c r="H105" s="239"/>
      <c r="I105" s="239"/>
      <c r="J105" s="239">
        <f t="shared" ref="J105" si="73">I105*F105</f>
        <v>0</v>
      </c>
      <c r="K105" s="239"/>
      <c r="L105" s="239"/>
      <c r="M105" s="239">
        <f t="shared" ref="M105:M108" si="74">L105+J105+H105</f>
        <v>0</v>
      </c>
      <c r="N105" s="198"/>
      <c r="O105" s="198"/>
      <c r="P105" s="198"/>
      <c r="Q105" s="198"/>
      <c r="R105" s="198"/>
    </row>
    <row r="106" spans="1:18" ht="15">
      <c r="A106" s="237"/>
      <c r="B106" s="238"/>
      <c r="C106" s="239" t="s">
        <v>36</v>
      </c>
      <c r="D106" s="239" t="s">
        <v>25</v>
      </c>
      <c r="E106" s="239">
        <v>3.1399999999999997E-2</v>
      </c>
      <c r="F106" s="239">
        <f>E106*F104</f>
        <v>6.9079999999999995</v>
      </c>
      <c r="G106" s="239"/>
      <c r="H106" s="239"/>
      <c r="I106" s="239"/>
      <c r="J106" s="239"/>
      <c r="K106" s="239"/>
      <c r="L106" s="240">
        <f t="shared" ref="L106" si="75">K106*F106</f>
        <v>0</v>
      </c>
      <c r="M106" s="240">
        <f t="shared" si="74"/>
        <v>0</v>
      </c>
      <c r="N106" s="198"/>
      <c r="O106" s="198"/>
      <c r="P106" s="198"/>
      <c r="Q106" s="198"/>
      <c r="R106" s="198"/>
    </row>
    <row r="107" spans="1:18" ht="15">
      <c r="A107" s="237"/>
      <c r="B107" s="238" t="s">
        <v>814</v>
      </c>
      <c r="C107" s="239" t="s">
        <v>811</v>
      </c>
      <c r="D107" s="239" t="s">
        <v>19</v>
      </c>
      <c r="E107" s="239">
        <v>1</v>
      </c>
      <c r="F107" s="239">
        <f>E107*F104</f>
        <v>220</v>
      </c>
      <c r="G107" s="240"/>
      <c r="H107" s="240">
        <f t="shared" ref="H107:H108" si="76">G107*F107</f>
        <v>0</v>
      </c>
      <c r="I107" s="239"/>
      <c r="J107" s="239"/>
      <c r="K107" s="239"/>
      <c r="L107" s="239"/>
      <c r="M107" s="240">
        <f t="shared" si="74"/>
        <v>0</v>
      </c>
      <c r="N107" s="198"/>
      <c r="O107" s="198"/>
      <c r="P107" s="198"/>
      <c r="Q107" s="198"/>
      <c r="R107" s="198"/>
    </row>
    <row r="108" spans="1:18" ht="15">
      <c r="A108" s="237"/>
      <c r="B108" s="238"/>
      <c r="C108" s="239" t="s">
        <v>21</v>
      </c>
      <c r="D108" s="239" t="s">
        <v>25</v>
      </c>
      <c r="E108" s="239">
        <v>6.5199999999999994E-2</v>
      </c>
      <c r="F108" s="239">
        <f>E108*F104</f>
        <v>14.343999999999999</v>
      </c>
      <c r="G108" s="239"/>
      <c r="H108" s="240">
        <f t="shared" si="76"/>
        <v>0</v>
      </c>
      <c r="I108" s="239"/>
      <c r="J108" s="239"/>
      <c r="K108" s="239"/>
      <c r="L108" s="239"/>
      <c r="M108" s="240">
        <f t="shared" si="74"/>
        <v>0</v>
      </c>
      <c r="N108" s="198"/>
      <c r="O108" s="198"/>
      <c r="P108" s="198"/>
      <c r="Q108" s="198"/>
      <c r="R108" s="198"/>
    </row>
    <row r="109" spans="1:18" ht="15">
      <c r="A109" s="237">
        <v>20</v>
      </c>
      <c r="B109" s="238" t="s">
        <v>262</v>
      </c>
      <c r="C109" s="237" t="s">
        <v>263</v>
      </c>
      <c r="D109" s="237" t="s">
        <v>99</v>
      </c>
      <c r="E109" s="239"/>
      <c r="F109" s="239">
        <f>SUM(F111:F117)</f>
        <v>4340</v>
      </c>
      <c r="G109" s="239"/>
      <c r="H109" s="239"/>
      <c r="I109" s="239"/>
      <c r="J109" s="239"/>
      <c r="K109" s="239"/>
      <c r="L109" s="239"/>
      <c r="M109" s="239"/>
      <c r="N109" s="198"/>
      <c r="O109" s="198"/>
      <c r="P109" s="198"/>
      <c r="Q109" s="198"/>
      <c r="R109" s="198"/>
    </row>
    <row r="110" spans="1:18" ht="15">
      <c r="A110" s="237"/>
      <c r="B110" s="238"/>
      <c r="C110" s="239" t="s">
        <v>180</v>
      </c>
      <c r="D110" s="239" t="s">
        <v>99</v>
      </c>
      <c r="E110" s="239">
        <v>1</v>
      </c>
      <c r="F110" s="239">
        <f>E110*F109</f>
        <v>4340</v>
      </c>
      <c r="G110" s="239"/>
      <c r="H110" s="239"/>
      <c r="I110" s="239"/>
      <c r="J110" s="239">
        <f t="shared" ref="J110" si="77">I110*F110</f>
        <v>0</v>
      </c>
      <c r="K110" s="239"/>
      <c r="L110" s="239"/>
      <c r="M110" s="239">
        <f t="shared" ref="M110:M117" si="78">L110+J110+H110</f>
        <v>0</v>
      </c>
      <c r="N110" s="198"/>
      <c r="O110" s="198"/>
      <c r="P110" s="198"/>
      <c r="Q110" s="198"/>
      <c r="R110" s="198"/>
    </row>
    <row r="111" spans="1:18" ht="15">
      <c r="A111" s="237"/>
      <c r="B111" s="238"/>
      <c r="C111" s="239" t="s">
        <v>817</v>
      </c>
      <c r="D111" s="239" t="s">
        <v>99</v>
      </c>
      <c r="E111" s="239"/>
      <c r="F111" s="239">
        <v>1800</v>
      </c>
      <c r="G111" s="240"/>
      <c r="H111" s="240">
        <f t="shared" ref="H111:H117" si="79">G111*F111</f>
        <v>0</v>
      </c>
      <c r="I111" s="239"/>
      <c r="J111" s="239"/>
      <c r="K111" s="239"/>
      <c r="L111" s="240"/>
      <c r="M111" s="240">
        <f t="shared" si="78"/>
        <v>0</v>
      </c>
      <c r="N111" s="198"/>
      <c r="O111" s="198"/>
      <c r="P111" s="198"/>
      <c r="Q111" s="198"/>
      <c r="R111" s="198"/>
    </row>
    <row r="112" spans="1:18" ht="15">
      <c r="A112" s="237"/>
      <c r="B112" s="238"/>
      <c r="C112" s="239" t="s">
        <v>816</v>
      </c>
      <c r="D112" s="239" t="s">
        <v>99</v>
      </c>
      <c r="E112" s="239"/>
      <c r="F112" s="239">
        <v>1200</v>
      </c>
      <c r="G112" s="240"/>
      <c r="H112" s="240">
        <f t="shared" si="79"/>
        <v>0</v>
      </c>
      <c r="I112" s="239"/>
      <c r="J112" s="239"/>
      <c r="K112" s="239"/>
      <c r="L112" s="239"/>
      <c r="M112" s="240">
        <f t="shared" si="78"/>
        <v>0</v>
      </c>
      <c r="N112" s="198"/>
      <c r="O112" s="198"/>
      <c r="P112" s="198"/>
      <c r="Q112" s="198"/>
      <c r="R112" s="198"/>
    </row>
    <row r="113" spans="1:18" ht="15">
      <c r="A113" s="237"/>
      <c r="B113" s="238"/>
      <c r="C113" s="239" t="s">
        <v>815</v>
      </c>
      <c r="D113" s="239" t="s">
        <v>99</v>
      </c>
      <c r="E113" s="239"/>
      <c r="F113" s="239">
        <v>540</v>
      </c>
      <c r="G113" s="240"/>
      <c r="H113" s="240">
        <f t="shared" si="79"/>
        <v>0</v>
      </c>
      <c r="I113" s="239"/>
      <c r="J113" s="239"/>
      <c r="K113" s="239"/>
      <c r="L113" s="240"/>
      <c r="M113" s="240">
        <f t="shared" si="78"/>
        <v>0</v>
      </c>
      <c r="N113" s="198"/>
      <c r="O113" s="198"/>
      <c r="P113" s="198"/>
      <c r="Q113" s="198"/>
      <c r="R113" s="198"/>
    </row>
    <row r="114" spans="1:18" ht="15">
      <c r="A114" s="237"/>
      <c r="B114" s="238"/>
      <c r="C114" s="239" t="s">
        <v>818</v>
      </c>
      <c r="D114" s="239" t="s">
        <v>99</v>
      </c>
      <c r="E114" s="239"/>
      <c r="F114" s="239">
        <v>220</v>
      </c>
      <c r="G114" s="240"/>
      <c r="H114" s="240">
        <f t="shared" si="79"/>
        <v>0</v>
      </c>
      <c r="I114" s="239"/>
      <c r="J114" s="239"/>
      <c r="K114" s="239"/>
      <c r="L114" s="239"/>
      <c r="M114" s="240">
        <f t="shared" si="78"/>
        <v>0</v>
      </c>
      <c r="N114" s="198"/>
      <c r="O114" s="198"/>
      <c r="P114" s="198"/>
      <c r="Q114" s="198"/>
      <c r="R114" s="198"/>
    </row>
    <row r="115" spans="1:18" ht="15">
      <c r="A115" s="237"/>
      <c r="B115" s="238"/>
      <c r="C115" s="239" t="s">
        <v>819</v>
      </c>
      <c r="D115" s="239" t="s">
        <v>99</v>
      </c>
      <c r="E115" s="239"/>
      <c r="F115" s="239">
        <v>140</v>
      </c>
      <c r="G115" s="239"/>
      <c r="H115" s="240">
        <f t="shared" si="79"/>
        <v>0</v>
      </c>
      <c r="I115" s="239"/>
      <c r="J115" s="239"/>
      <c r="K115" s="239"/>
      <c r="L115" s="239"/>
      <c r="M115" s="240">
        <f t="shared" si="78"/>
        <v>0</v>
      </c>
      <c r="N115" s="198"/>
      <c r="O115" s="198"/>
      <c r="P115" s="198"/>
      <c r="Q115" s="198"/>
      <c r="R115" s="198"/>
    </row>
    <row r="116" spans="1:18" ht="15">
      <c r="A116" s="237"/>
      <c r="B116" s="238"/>
      <c r="C116" s="239" t="s">
        <v>820</v>
      </c>
      <c r="D116" s="239" t="s">
        <v>99</v>
      </c>
      <c r="E116" s="239"/>
      <c r="F116" s="239">
        <v>220</v>
      </c>
      <c r="G116" s="240"/>
      <c r="H116" s="240">
        <f t="shared" si="79"/>
        <v>0</v>
      </c>
      <c r="I116" s="239"/>
      <c r="J116" s="239"/>
      <c r="K116" s="239"/>
      <c r="L116" s="240"/>
      <c r="M116" s="240">
        <f t="shared" si="78"/>
        <v>0</v>
      </c>
      <c r="N116" s="198"/>
      <c r="O116" s="198"/>
      <c r="P116" s="198"/>
      <c r="Q116" s="198"/>
      <c r="R116" s="198"/>
    </row>
    <row r="117" spans="1:18" ht="15">
      <c r="A117" s="237"/>
      <c r="B117" s="238"/>
      <c r="C117" s="239" t="s">
        <v>821</v>
      </c>
      <c r="D117" s="239" t="s">
        <v>99</v>
      </c>
      <c r="E117" s="239"/>
      <c r="F117" s="239">
        <v>220</v>
      </c>
      <c r="G117" s="240"/>
      <c r="H117" s="240">
        <f t="shared" si="79"/>
        <v>0</v>
      </c>
      <c r="I117" s="239"/>
      <c r="J117" s="239"/>
      <c r="K117" s="239"/>
      <c r="L117" s="239"/>
      <c r="M117" s="240">
        <f t="shared" si="78"/>
        <v>0</v>
      </c>
      <c r="N117" s="198"/>
      <c r="O117" s="198"/>
      <c r="P117" s="198"/>
      <c r="Q117" s="198"/>
      <c r="R117" s="198"/>
    </row>
    <row r="118" spans="1:18" ht="15">
      <c r="A118" s="237"/>
      <c r="B118" s="238"/>
      <c r="C118" s="377" t="s">
        <v>196</v>
      </c>
      <c r="D118" s="239"/>
      <c r="E118" s="239"/>
      <c r="F118" s="239"/>
      <c r="G118" s="240"/>
      <c r="H118" s="240"/>
      <c r="I118" s="239"/>
      <c r="J118" s="239"/>
      <c r="K118" s="239"/>
      <c r="L118" s="239"/>
      <c r="M118" s="240"/>
      <c r="N118" s="198"/>
      <c r="O118" s="198"/>
      <c r="P118" s="198"/>
      <c r="Q118" s="198"/>
      <c r="R118" s="198"/>
    </row>
    <row r="119" spans="1:18" ht="15">
      <c r="A119" s="237">
        <v>21</v>
      </c>
      <c r="B119" s="238" t="s">
        <v>823</v>
      </c>
      <c r="C119" s="237" t="s">
        <v>822</v>
      </c>
      <c r="D119" s="237" t="s">
        <v>19</v>
      </c>
      <c r="E119" s="239"/>
      <c r="F119" s="239">
        <f>F122+F123+F124+F125+F126+F127+F128</f>
        <v>2174</v>
      </c>
      <c r="G119" s="239"/>
      <c r="H119" s="239"/>
      <c r="I119" s="239"/>
      <c r="J119" s="239"/>
      <c r="K119" s="239"/>
      <c r="L119" s="239"/>
      <c r="M119" s="239"/>
      <c r="N119" s="198"/>
      <c r="O119" s="198"/>
      <c r="P119" s="198"/>
      <c r="Q119" s="198"/>
      <c r="R119" s="198"/>
    </row>
    <row r="120" spans="1:18" ht="15">
      <c r="A120" s="237"/>
      <c r="B120" s="238"/>
      <c r="C120" s="239" t="s">
        <v>180</v>
      </c>
      <c r="D120" s="239" t="s">
        <v>18</v>
      </c>
      <c r="E120" s="239">
        <v>1</v>
      </c>
      <c r="F120" s="239">
        <f>E120*F119</f>
        <v>2174</v>
      </c>
      <c r="G120" s="239"/>
      <c r="H120" s="239"/>
      <c r="I120" s="239"/>
      <c r="J120" s="239">
        <f t="shared" ref="J120" si="80">I120*F120</f>
        <v>0</v>
      </c>
      <c r="K120" s="239"/>
      <c r="L120" s="239"/>
      <c r="M120" s="239">
        <f t="shared" ref="M120:M129" si="81">L120+J120+H120</f>
        <v>0</v>
      </c>
      <c r="N120" s="198"/>
      <c r="O120" s="198"/>
      <c r="P120" s="198"/>
      <c r="Q120" s="198"/>
      <c r="R120" s="198"/>
    </row>
    <row r="121" spans="1:18" ht="15">
      <c r="A121" s="237"/>
      <c r="B121" s="238"/>
      <c r="C121" s="239" t="s">
        <v>36</v>
      </c>
      <c r="D121" s="239" t="s">
        <v>25</v>
      </c>
      <c r="E121" s="239">
        <v>0.151</v>
      </c>
      <c r="F121" s="239">
        <f>E121*F119</f>
        <v>328.274</v>
      </c>
      <c r="G121" s="239"/>
      <c r="H121" s="239"/>
      <c r="I121" s="239"/>
      <c r="J121" s="239"/>
      <c r="K121" s="239"/>
      <c r="L121" s="240">
        <f t="shared" ref="L121" si="82">K121*F121</f>
        <v>0</v>
      </c>
      <c r="M121" s="240">
        <f t="shared" si="81"/>
        <v>0</v>
      </c>
      <c r="N121" s="198"/>
      <c r="O121" s="198"/>
      <c r="P121" s="198"/>
      <c r="Q121" s="198"/>
      <c r="R121" s="198"/>
    </row>
    <row r="122" spans="1:18" ht="15">
      <c r="A122" s="237"/>
      <c r="B122" s="238"/>
      <c r="C122" s="239" t="s">
        <v>824</v>
      </c>
      <c r="D122" s="239" t="s">
        <v>19</v>
      </c>
      <c r="E122" s="239"/>
      <c r="F122" s="239">
        <v>420</v>
      </c>
      <c r="G122" s="240"/>
      <c r="H122" s="240">
        <f t="shared" ref="H122:H129" si="83">G122*F122</f>
        <v>0</v>
      </c>
      <c r="I122" s="239"/>
      <c r="J122" s="239"/>
      <c r="K122" s="239"/>
      <c r="L122" s="239"/>
      <c r="M122" s="240">
        <f t="shared" si="81"/>
        <v>0</v>
      </c>
      <c r="N122" s="198"/>
      <c r="O122" s="198"/>
      <c r="P122" s="198"/>
      <c r="Q122" s="198"/>
      <c r="R122" s="198"/>
    </row>
    <row r="123" spans="1:18" ht="15">
      <c r="A123" s="237"/>
      <c r="B123" s="238"/>
      <c r="C123" s="239" t="s">
        <v>825</v>
      </c>
      <c r="D123" s="239" t="s">
        <v>19</v>
      </c>
      <c r="E123" s="239"/>
      <c r="F123" s="239">
        <v>1400</v>
      </c>
      <c r="G123" s="240"/>
      <c r="H123" s="240">
        <f t="shared" ref="H123" si="84">G123*F123</f>
        <v>0</v>
      </c>
      <c r="I123" s="239"/>
      <c r="J123" s="239"/>
      <c r="K123" s="239"/>
      <c r="L123" s="239"/>
      <c r="M123" s="240">
        <f t="shared" ref="M123" si="85">L123+J123+H123</f>
        <v>0</v>
      </c>
      <c r="N123" s="198"/>
      <c r="O123" s="198"/>
      <c r="P123" s="198"/>
      <c r="Q123" s="198"/>
      <c r="R123" s="198"/>
    </row>
    <row r="124" spans="1:18" ht="15">
      <c r="A124" s="237"/>
      <c r="B124" s="238"/>
      <c r="C124" s="239" t="s">
        <v>826</v>
      </c>
      <c r="D124" s="239" t="s">
        <v>19</v>
      </c>
      <c r="E124" s="239"/>
      <c r="F124" s="239">
        <v>140</v>
      </c>
      <c r="G124" s="240"/>
      <c r="H124" s="240">
        <f t="shared" ref="H124" si="86">G124*F124</f>
        <v>0</v>
      </c>
      <c r="I124" s="239"/>
      <c r="J124" s="239"/>
      <c r="K124" s="239"/>
      <c r="L124" s="239"/>
      <c r="M124" s="240">
        <f t="shared" ref="M124" si="87">L124+J124+H124</f>
        <v>0</v>
      </c>
      <c r="N124" s="198"/>
      <c r="O124" s="198"/>
      <c r="P124" s="198"/>
      <c r="Q124" s="198"/>
      <c r="R124" s="198"/>
    </row>
    <row r="125" spans="1:18" ht="15">
      <c r="A125" s="237"/>
      <c r="B125" s="238"/>
      <c r="C125" s="239" t="s">
        <v>827</v>
      </c>
      <c r="D125" s="239" t="s">
        <v>19</v>
      </c>
      <c r="E125" s="239"/>
      <c r="F125" s="239">
        <v>60</v>
      </c>
      <c r="G125" s="240"/>
      <c r="H125" s="240">
        <f t="shared" ref="H125" si="88">G125*F125</f>
        <v>0</v>
      </c>
      <c r="I125" s="239"/>
      <c r="J125" s="239"/>
      <c r="K125" s="239"/>
      <c r="L125" s="239"/>
      <c r="M125" s="240">
        <f t="shared" ref="M125" si="89">L125+J125+H125</f>
        <v>0</v>
      </c>
      <c r="N125" s="198"/>
      <c r="O125" s="198"/>
      <c r="P125" s="198"/>
      <c r="Q125" s="198"/>
      <c r="R125" s="198"/>
    </row>
    <row r="126" spans="1:18" ht="15">
      <c r="A126" s="237"/>
      <c r="B126" s="238"/>
      <c r="C126" s="239" t="s">
        <v>828</v>
      </c>
      <c r="D126" s="239" t="s">
        <v>19</v>
      </c>
      <c r="E126" s="239"/>
      <c r="F126" s="239">
        <v>40</v>
      </c>
      <c r="G126" s="240"/>
      <c r="H126" s="240">
        <f t="shared" ref="H126" si="90">G126*F126</f>
        <v>0</v>
      </c>
      <c r="I126" s="239"/>
      <c r="J126" s="239"/>
      <c r="K126" s="239"/>
      <c r="L126" s="239"/>
      <c r="M126" s="240">
        <f t="shared" ref="M126" si="91">L126+J126+H126</f>
        <v>0</v>
      </c>
      <c r="N126" s="198"/>
      <c r="O126" s="198"/>
      <c r="P126" s="198"/>
      <c r="Q126" s="198"/>
      <c r="R126" s="198"/>
    </row>
    <row r="127" spans="1:18" ht="15">
      <c r="A127" s="237"/>
      <c r="B127" s="238"/>
      <c r="C127" s="239" t="s">
        <v>829</v>
      </c>
      <c r="D127" s="239" t="s">
        <v>19</v>
      </c>
      <c r="E127" s="239"/>
      <c r="F127" s="239">
        <v>60</v>
      </c>
      <c r="G127" s="240"/>
      <c r="H127" s="240">
        <f t="shared" ref="H127" si="92">G127*F127</f>
        <v>0</v>
      </c>
      <c r="I127" s="239"/>
      <c r="J127" s="239"/>
      <c r="K127" s="239"/>
      <c r="L127" s="239"/>
      <c r="M127" s="240">
        <f t="shared" ref="M127" si="93">L127+J127+H127</f>
        <v>0</v>
      </c>
      <c r="N127" s="198"/>
      <c r="O127" s="198"/>
      <c r="P127" s="198"/>
      <c r="Q127" s="198"/>
      <c r="R127" s="198"/>
    </row>
    <row r="128" spans="1:18" ht="15">
      <c r="A128" s="237"/>
      <c r="B128" s="238"/>
      <c r="C128" s="239" t="s">
        <v>830</v>
      </c>
      <c r="D128" s="239" t="s">
        <v>19</v>
      </c>
      <c r="E128" s="239"/>
      <c r="F128" s="239">
        <v>54</v>
      </c>
      <c r="G128" s="240"/>
      <c r="H128" s="240">
        <f t="shared" ref="H128" si="94">G128*F128</f>
        <v>0</v>
      </c>
      <c r="I128" s="239"/>
      <c r="J128" s="239"/>
      <c r="K128" s="239"/>
      <c r="L128" s="239"/>
      <c r="M128" s="240">
        <f t="shared" ref="M128" si="95">L128+J128+H128</f>
        <v>0</v>
      </c>
      <c r="N128" s="198"/>
      <c r="O128" s="198"/>
      <c r="P128" s="198"/>
      <c r="Q128" s="198"/>
      <c r="R128" s="198"/>
    </row>
    <row r="129" spans="1:18" ht="15">
      <c r="A129" s="237"/>
      <c r="B129" s="238"/>
      <c r="C129" s="239" t="s">
        <v>21</v>
      </c>
      <c r="D129" s="239" t="s">
        <v>25</v>
      </c>
      <c r="E129" s="239">
        <v>2.4E-2</v>
      </c>
      <c r="F129" s="239">
        <f>E129*F119</f>
        <v>52.176000000000002</v>
      </c>
      <c r="G129" s="239"/>
      <c r="H129" s="240">
        <f t="shared" si="83"/>
        <v>0</v>
      </c>
      <c r="I129" s="239"/>
      <c r="J129" s="239"/>
      <c r="K129" s="239"/>
      <c r="L129" s="239"/>
      <c r="M129" s="240">
        <f t="shared" si="81"/>
        <v>0</v>
      </c>
      <c r="N129" s="198"/>
      <c r="O129" s="198"/>
      <c r="P129" s="198"/>
      <c r="Q129" s="198"/>
      <c r="R129" s="198"/>
    </row>
    <row r="130" spans="1:18" ht="15">
      <c r="A130" s="237">
        <v>22</v>
      </c>
      <c r="B130" s="238" t="s">
        <v>831</v>
      </c>
      <c r="C130" s="237" t="s">
        <v>832</v>
      </c>
      <c r="D130" s="237" t="s">
        <v>19</v>
      </c>
      <c r="E130" s="239"/>
      <c r="F130" s="239">
        <f>F133+F134+F135+F136+F137+F138+F139</f>
        <v>620</v>
      </c>
      <c r="G130" s="239"/>
      <c r="H130" s="239"/>
      <c r="I130" s="239"/>
      <c r="J130" s="239"/>
      <c r="K130" s="239"/>
      <c r="L130" s="239"/>
      <c r="M130" s="239"/>
      <c r="N130" s="198"/>
      <c r="O130" s="198"/>
      <c r="P130" s="198"/>
      <c r="Q130" s="198"/>
      <c r="R130" s="198"/>
    </row>
    <row r="131" spans="1:18" ht="15">
      <c r="A131" s="237"/>
      <c r="B131" s="238"/>
      <c r="C131" s="239" t="s">
        <v>180</v>
      </c>
      <c r="D131" s="239" t="s">
        <v>18</v>
      </c>
      <c r="E131" s="239">
        <v>1</v>
      </c>
      <c r="F131" s="239">
        <f>E131*F130</f>
        <v>620</v>
      </c>
      <c r="G131" s="239"/>
      <c r="H131" s="239"/>
      <c r="I131" s="239"/>
      <c r="J131" s="239">
        <f t="shared" ref="J131" si="96">I131*F131</f>
        <v>0</v>
      </c>
      <c r="K131" s="239"/>
      <c r="L131" s="239"/>
      <c r="M131" s="239">
        <f t="shared" ref="M131:M140" si="97">L131+J131+H131</f>
        <v>0</v>
      </c>
      <c r="N131" s="198"/>
      <c r="O131" s="198"/>
      <c r="P131" s="198"/>
      <c r="Q131" s="198"/>
      <c r="R131" s="198"/>
    </row>
    <row r="132" spans="1:18" ht="15">
      <c r="A132" s="237"/>
      <c r="B132" s="238"/>
      <c r="C132" s="239" t="s">
        <v>36</v>
      </c>
      <c r="D132" s="239" t="s">
        <v>25</v>
      </c>
      <c r="E132" s="239">
        <v>0.22700000000000001</v>
      </c>
      <c r="F132" s="239">
        <f>E132*F130</f>
        <v>140.74</v>
      </c>
      <c r="G132" s="239"/>
      <c r="H132" s="239"/>
      <c r="I132" s="239"/>
      <c r="J132" s="239"/>
      <c r="K132" s="239"/>
      <c r="L132" s="240">
        <f t="shared" ref="L132" si="98">K132*F132</f>
        <v>0</v>
      </c>
      <c r="M132" s="240">
        <f t="shared" si="97"/>
        <v>0</v>
      </c>
      <c r="N132" s="198"/>
      <c r="O132" s="198"/>
      <c r="P132" s="198"/>
      <c r="Q132" s="198"/>
      <c r="R132" s="198"/>
    </row>
    <row r="133" spans="1:18" ht="15">
      <c r="A133" s="237"/>
      <c r="B133" s="238"/>
      <c r="C133" s="239" t="s">
        <v>833</v>
      </c>
      <c r="D133" s="239" t="s">
        <v>19</v>
      </c>
      <c r="E133" s="239"/>
      <c r="F133" s="239">
        <v>20</v>
      </c>
      <c r="G133" s="240"/>
      <c r="H133" s="240">
        <f t="shared" ref="H133:H140" si="99">G133*F133</f>
        <v>0</v>
      </c>
      <c r="I133" s="239"/>
      <c r="J133" s="239"/>
      <c r="K133" s="239"/>
      <c r="L133" s="239"/>
      <c r="M133" s="240">
        <f t="shared" si="97"/>
        <v>0</v>
      </c>
      <c r="N133" s="198"/>
      <c r="O133" s="198"/>
      <c r="P133" s="198"/>
      <c r="Q133" s="198"/>
      <c r="R133" s="198"/>
    </row>
    <row r="134" spans="1:18" ht="15">
      <c r="A134" s="237"/>
      <c r="B134" s="238"/>
      <c r="C134" s="239" t="s">
        <v>834</v>
      </c>
      <c r="D134" s="239" t="s">
        <v>19</v>
      </c>
      <c r="E134" s="239"/>
      <c r="F134" s="239">
        <v>240</v>
      </c>
      <c r="G134" s="240"/>
      <c r="H134" s="240">
        <f t="shared" si="99"/>
        <v>0</v>
      </c>
      <c r="I134" s="239"/>
      <c r="J134" s="239"/>
      <c r="K134" s="239"/>
      <c r="L134" s="239"/>
      <c r="M134" s="240">
        <f t="shared" si="97"/>
        <v>0</v>
      </c>
      <c r="N134" s="198"/>
      <c r="O134" s="198"/>
      <c r="P134" s="198"/>
      <c r="Q134" s="198"/>
      <c r="R134" s="198"/>
    </row>
    <row r="135" spans="1:18" ht="15">
      <c r="A135" s="237"/>
      <c r="B135" s="238"/>
      <c r="C135" s="239" t="s">
        <v>835</v>
      </c>
      <c r="D135" s="239" t="s">
        <v>19</v>
      </c>
      <c r="E135" s="239"/>
      <c r="F135" s="239">
        <v>120</v>
      </c>
      <c r="G135" s="240"/>
      <c r="H135" s="240">
        <f t="shared" si="99"/>
        <v>0</v>
      </c>
      <c r="I135" s="239"/>
      <c r="J135" s="239"/>
      <c r="K135" s="239"/>
      <c r="L135" s="239"/>
      <c r="M135" s="240">
        <f t="shared" si="97"/>
        <v>0</v>
      </c>
      <c r="N135" s="198"/>
      <c r="O135" s="198"/>
      <c r="P135" s="198"/>
      <c r="Q135" s="198"/>
      <c r="R135" s="198"/>
    </row>
    <row r="136" spans="1:18" ht="15">
      <c r="A136" s="237"/>
      <c r="B136" s="238"/>
      <c r="C136" s="239" t="s">
        <v>836</v>
      </c>
      <c r="D136" s="239" t="s">
        <v>19</v>
      </c>
      <c r="E136" s="239"/>
      <c r="F136" s="239">
        <v>100</v>
      </c>
      <c r="G136" s="240"/>
      <c r="H136" s="240">
        <f t="shared" si="99"/>
        <v>0</v>
      </c>
      <c r="I136" s="239"/>
      <c r="J136" s="239"/>
      <c r="K136" s="239"/>
      <c r="L136" s="239"/>
      <c r="M136" s="240">
        <f t="shared" si="97"/>
        <v>0</v>
      </c>
      <c r="N136" s="198"/>
      <c r="O136" s="198"/>
      <c r="P136" s="198"/>
      <c r="Q136" s="198"/>
      <c r="R136" s="198"/>
    </row>
    <row r="137" spans="1:18" ht="15">
      <c r="A137" s="237"/>
      <c r="B137" s="238"/>
      <c r="C137" s="239" t="s">
        <v>837</v>
      </c>
      <c r="D137" s="239" t="s">
        <v>19</v>
      </c>
      <c r="E137" s="239"/>
      <c r="F137" s="239">
        <v>20</v>
      </c>
      <c r="G137" s="240"/>
      <c r="H137" s="240">
        <f t="shared" si="99"/>
        <v>0</v>
      </c>
      <c r="I137" s="239"/>
      <c r="J137" s="239"/>
      <c r="K137" s="239"/>
      <c r="L137" s="239"/>
      <c r="M137" s="240">
        <f t="shared" si="97"/>
        <v>0</v>
      </c>
      <c r="N137" s="198"/>
      <c r="O137" s="198"/>
      <c r="P137" s="198"/>
      <c r="Q137" s="198"/>
      <c r="R137" s="198"/>
    </row>
    <row r="138" spans="1:18" ht="15">
      <c r="A138" s="237"/>
      <c r="B138" s="238"/>
      <c r="C138" s="239" t="s">
        <v>838</v>
      </c>
      <c r="D138" s="239" t="s">
        <v>19</v>
      </c>
      <c r="E138" s="239"/>
      <c r="F138" s="239">
        <v>80</v>
      </c>
      <c r="G138" s="240"/>
      <c r="H138" s="240">
        <f t="shared" si="99"/>
        <v>0</v>
      </c>
      <c r="I138" s="239"/>
      <c r="J138" s="239"/>
      <c r="K138" s="239"/>
      <c r="L138" s="239"/>
      <c r="M138" s="240">
        <f t="shared" si="97"/>
        <v>0</v>
      </c>
      <c r="N138" s="198"/>
      <c r="O138" s="198"/>
      <c r="P138" s="198"/>
      <c r="Q138" s="198"/>
      <c r="R138" s="198"/>
    </row>
    <row r="139" spans="1:18" ht="15">
      <c r="A139" s="237"/>
      <c r="B139" s="238"/>
      <c r="C139" s="239" t="s">
        <v>839</v>
      </c>
      <c r="D139" s="239" t="s">
        <v>19</v>
      </c>
      <c r="E139" s="239"/>
      <c r="F139" s="239">
        <v>40</v>
      </c>
      <c r="G139" s="240"/>
      <c r="H139" s="240">
        <f t="shared" si="99"/>
        <v>0</v>
      </c>
      <c r="I139" s="239"/>
      <c r="J139" s="239"/>
      <c r="K139" s="239"/>
      <c r="L139" s="239"/>
      <c r="M139" s="240">
        <f t="shared" si="97"/>
        <v>0</v>
      </c>
      <c r="N139" s="198"/>
      <c r="O139" s="198"/>
      <c r="P139" s="198"/>
      <c r="Q139" s="198"/>
      <c r="R139" s="198"/>
    </row>
    <row r="140" spans="1:18" ht="15">
      <c r="A140" s="237"/>
      <c r="B140" s="238"/>
      <c r="C140" s="239" t="s">
        <v>21</v>
      </c>
      <c r="D140" s="239" t="s">
        <v>25</v>
      </c>
      <c r="E140" s="239">
        <v>2.4E-2</v>
      </c>
      <c r="F140" s="239">
        <f>E140*F130</f>
        <v>14.88</v>
      </c>
      <c r="G140" s="239"/>
      <c r="H140" s="240">
        <f t="shared" si="99"/>
        <v>0</v>
      </c>
      <c r="I140" s="239"/>
      <c r="J140" s="239"/>
      <c r="K140" s="239"/>
      <c r="L140" s="239"/>
      <c r="M140" s="240">
        <f t="shared" si="97"/>
        <v>0</v>
      </c>
      <c r="N140" s="198"/>
      <c r="O140" s="198"/>
      <c r="P140" s="198"/>
      <c r="Q140" s="198"/>
      <c r="R140" s="198"/>
    </row>
    <row r="141" spans="1:18" ht="15">
      <c r="A141" s="237">
        <v>23</v>
      </c>
      <c r="B141" s="238" t="s">
        <v>251</v>
      </c>
      <c r="C141" s="237" t="s">
        <v>785</v>
      </c>
      <c r="D141" s="237" t="s">
        <v>19</v>
      </c>
      <c r="E141" s="239"/>
      <c r="F141" s="239">
        <f>160+16+10+6+4+3+1</f>
        <v>200</v>
      </c>
      <c r="G141" s="239"/>
      <c r="H141" s="239"/>
      <c r="I141" s="239"/>
      <c r="J141" s="239"/>
      <c r="K141" s="239"/>
      <c r="L141" s="239"/>
      <c r="M141" s="239"/>
      <c r="N141" s="198"/>
      <c r="O141" s="198"/>
      <c r="P141" s="198"/>
      <c r="Q141" s="198"/>
      <c r="R141" s="198"/>
    </row>
    <row r="142" spans="1:18" ht="15">
      <c r="A142" s="237"/>
      <c r="B142" s="238"/>
      <c r="C142" s="239" t="s">
        <v>180</v>
      </c>
      <c r="D142" s="239" t="s">
        <v>18</v>
      </c>
      <c r="E142" s="239">
        <v>1</v>
      </c>
      <c r="F142" s="239">
        <f>E142*F141</f>
        <v>200</v>
      </c>
      <c r="G142" s="239"/>
      <c r="H142" s="239"/>
      <c r="I142" s="239"/>
      <c r="J142" s="239">
        <f t="shared" ref="J142" si="100">I142*F142</f>
        <v>0</v>
      </c>
      <c r="K142" s="239"/>
      <c r="L142" s="239"/>
      <c r="M142" s="239">
        <f t="shared" ref="M142:M151" si="101">L142+J142+H142</f>
        <v>0</v>
      </c>
      <c r="N142" s="198"/>
      <c r="O142" s="198"/>
      <c r="P142" s="198"/>
      <c r="Q142" s="198"/>
      <c r="R142" s="198"/>
    </row>
    <row r="143" spans="1:18" ht="15">
      <c r="A143" s="237"/>
      <c r="B143" s="238"/>
      <c r="C143" s="239" t="s">
        <v>36</v>
      </c>
      <c r="D143" s="239" t="s">
        <v>25</v>
      </c>
      <c r="E143" s="239">
        <v>0.13</v>
      </c>
      <c r="F143" s="239">
        <f>E143*F141</f>
        <v>26</v>
      </c>
      <c r="G143" s="239"/>
      <c r="H143" s="239"/>
      <c r="I143" s="239"/>
      <c r="J143" s="239"/>
      <c r="K143" s="239"/>
      <c r="L143" s="240">
        <f t="shared" ref="L143" si="102">K143*F143</f>
        <v>0</v>
      </c>
      <c r="M143" s="240">
        <f t="shared" si="101"/>
        <v>0</v>
      </c>
      <c r="N143" s="198"/>
      <c r="O143" s="198"/>
      <c r="P143" s="198"/>
      <c r="Q143" s="198"/>
      <c r="R143" s="198"/>
    </row>
    <row r="144" spans="1:18" ht="15">
      <c r="A144" s="237"/>
      <c r="B144" s="238" t="s">
        <v>401</v>
      </c>
      <c r="C144" s="239" t="s">
        <v>402</v>
      </c>
      <c r="D144" s="239" t="s">
        <v>19</v>
      </c>
      <c r="E144" s="239"/>
      <c r="F144" s="239">
        <v>6</v>
      </c>
      <c r="G144" s="240"/>
      <c r="H144" s="240">
        <f t="shared" ref="H144:H151" si="103">G144*F144</f>
        <v>0</v>
      </c>
      <c r="I144" s="239"/>
      <c r="J144" s="239"/>
      <c r="K144" s="239"/>
      <c r="L144" s="239"/>
      <c r="M144" s="240">
        <f t="shared" si="101"/>
        <v>0</v>
      </c>
      <c r="N144" s="198"/>
      <c r="O144" s="198"/>
      <c r="P144" s="198"/>
      <c r="Q144" s="198"/>
      <c r="R144" s="198"/>
    </row>
    <row r="145" spans="1:18" ht="15">
      <c r="A145" s="237"/>
      <c r="B145" s="238" t="s">
        <v>411</v>
      </c>
      <c r="C145" s="239" t="s">
        <v>412</v>
      </c>
      <c r="D145" s="239" t="s">
        <v>19</v>
      </c>
      <c r="E145" s="239"/>
      <c r="F145" s="239">
        <v>10</v>
      </c>
      <c r="G145" s="240"/>
      <c r="H145" s="240">
        <f t="shared" si="103"/>
        <v>0</v>
      </c>
      <c r="I145" s="239"/>
      <c r="J145" s="239"/>
      <c r="K145" s="239"/>
      <c r="L145" s="239"/>
      <c r="M145" s="240">
        <f t="shared" si="101"/>
        <v>0</v>
      </c>
      <c r="N145" s="198"/>
      <c r="O145" s="198"/>
      <c r="P145" s="198"/>
      <c r="Q145" s="198"/>
      <c r="R145" s="198"/>
    </row>
    <row r="146" spans="1:18" ht="15">
      <c r="A146" s="237"/>
      <c r="B146" s="238" t="s">
        <v>413</v>
      </c>
      <c r="C146" s="239" t="s">
        <v>414</v>
      </c>
      <c r="D146" s="239" t="s">
        <v>19</v>
      </c>
      <c r="E146" s="239"/>
      <c r="F146" s="239">
        <v>16</v>
      </c>
      <c r="G146" s="240"/>
      <c r="H146" s="240">
        <f t="shared" si="103"/>
        <v>0</v>
      </c>
      <c r="I146" s="239"/>
      <c r="J146" s="239"/>
      <c r="K146" s="239"/>
      <c r="L146" s="239"/>
      <c r="M146" s="240">
        <f t="shared" si="101"/>
        <v>0</v>
      </c>
      <c r="N146" s="198"/>
      <c r="O146" s="198"/>
      <c r="P146" s="198"/>
      <c r="Q146" s="198"/>
      <c r="R146" s="198"/>
    </row>
    <row r="147" spans="1:18" ht="15">
      <c r="A147" s="237"/>
      <c r="B147" s="238"/>
      <c r="C147" s="239" t="s">
        <v>415</v>
      </c>
      <c r="D147" s="239" t="s">
        <v>19</v>
      </c>
      <c r="E147" s="239"/>
      <c r="F147" s="239">
        <v>160</v>
      </c>
      <c r="G147" s="240"/>
      <c r="H147" s="240">
        <f t="shared" si="103"/>
        <v>0</v>
      </c>
      <c r="I147" s="239"/>
      <c r="J147" s="239"/>
      <c r="K147" s="239"/>
      <c r="L147" s="239"/>
      <c r="M147" s="240">
        <f t="shared" si="101"/>
        <v>0</v>
      </c>
      <c r="N147" s="198"/>
      <c r="O147" s="198"/>
      <c r="P147" s="198"/>
      <c r="Q147" s="198"/>
      <c r="R147" s="198"/>
    </row>
    <row r="148" spans="1:18" ht="30">
      <c r="A148" s="237"/>
      <c r="B148" s="238"/>
      <c r="C148" s="239" t="s">
        <v>840</v>
      </c>
      <c r="D148" s="239" t="s">
        <v>19</v>
      </c>
      <c r="E148" s="239"/>
      <c r="F148" s="239">
        <v>4</v>
      </c>
      <c r="G148" s="240"/>
      <c r="H148" s="240">
        <f t="shared" si="103"/>
        <v>0</v>
      </c>
      <c r="I148" s="239"/>
      <c r="J148" s="239"/>
      <c r="K148" s="239"/>
      <c r="L148" s="239"/>
      <c r="M148" s="240">
        <f t="shared" si="101"/>
        <v>0</v>
      </c>
      <c r="N148" s="198"/>
      <c r="O148" s="198"/>
      <c r="P148" s="198"/>
      <c r="Q148" s="198"/>
      <c r="R148" s="198"/>
    </row>
    <row r="149" spans="1:18" ht="30">
      <c r="A149" s="237"/>
      <c r="B149" s="238"/>
      <c r="C149" s="239" t="s">
        <v>841</v>
      </c>
      <c r="D149" s="239" t="s">
        <v>19</v>
      </c>
      <c r="E149" s="239"/>
      <c r="F149" s="239">
        <v>3</v>
      </c>
      <c r="G149" s="240"/>
      <c r="H149" s="240">
        <f t="shared" ref="H149" si="104">G149*F149</f>
        <v>0</v>
      </c>
      <c r="I149" s="239"/>
      <c r="J149" s="239"/>
      <c r="K149" s="239"/>
      <c r="L149" s="239"/>
      <c r="M149" s="240">
        <f t="shared" ref="M149" si="105">L149+J149+H149</f>
        <v>0</v>
      </c>
      <c r="N149" s="198"/>
      <c r="O149" s="198"/>
      <c r="P149" s="198"/>
      <c r="Q149" s="198"/>
      <c r="R149" s="198"/>
    </row>
    <row r="150" spans="1:18" ht="30">
      <c r="A150" s="237"/>
      <c r="B150" s="238"/>
      <c r="C150" s="239" t="s">
        <v>842</v>
      </c>
      <c r="D150" s="239" t="s">
        <v>19</v>
      </c>
      <c r="E150" s="239"/>
      <c r="F150" s="239">
        <v>1</v>
      </c>
      <c r="G150" s="240"/>
      <c r="H150" s="240">
        <f t="shared" si="103"/>
        <v>0</v>
      </c>
      <c r="I150" s="239"/>
      <c r="J150" s="239"/>
      <c r="K150" s="239"/>
      <c r="L150" s="239"/>
      <c r="M150" s="240">
        <f t="shared" si="101"/>
        <v>0</v>
      </c>
      <c r="N150" s="198"/>
      <c r="O150" s="198"/>
      <c r="P150" s="198"/>
      <c r="Q150" s="198"/>
      <c r="R150" s="198"/>
    </row>
    <row r="151" spans="1:18" ht="15">
      <c r="A151" s="237"/>
      <c r="B151" s="238"/>
      <c r="C151" s="239" t="s">
        <v>21</v>
      </c>
      <c r="D151" s="239" t="s">
        <v>25</v>
      </c>
      <c r="E151" s="239">
        <v>7.0000000000000007E-2</v>
      </c>
      <c r="F151" s="239">
        <f>E151*F141</f>
        <v>14.000000000000002</v>
      </c>
      <c r="G151" s="239"/>
      <c r="H151" s="240">
        <f t="shared" si="103"/>
        <v>0</v>
      </c>
      <c r="I151" s="239"/>
      <c r="J151" s="239"/>
      <c r="K151" s="239"/>
      <c r="L151" s="239"/>
      <c r="M151" s="240">
        <f t="shared" si="101"/>
        <v>0</v>
      </c>
      <c r="N151" s="198"/>
      <c r="O151" s="198"/>
      <c r="P151" s="198"/>
      <c r="Q151" s="198"/>
      <c r="R151" s="198"/>
    </row>
    <row r="152" spans="1:18" ht="15">
      <c r="A152" s="237">
        <v>24</v>
      </c>
      <c r="B152" s="238" t="s">
        <v>847</v>
      </c>
      <c r="C152" s="237" t="s">
        <v>844</v>
      </c>
      <c r="D152" s="237" t="s">
        <v>99</v>
      </c>
      <c r="E152" s="239"/>
      <c r="F152" s="239">
        <v>14</v>
      </c>
      <c r="G152" s="239"/>
      <c r="H152" s="239"/>
      <c r="I152" s="239"/>
      <c r="J152" s="239"/>
      <c r="K152" s="239"/>
      <c r="L152" s="239"/>
      <c r="M152" s="239"/>
      <c r="N152" s="198"/>
      <c r="O152" s="198"/>
      <c r="P152" s="198"/>
      <c r="Q152" s="198"/>
      <c r="R152" s="198"/>
    </row>
    <row r="153" spans="1:18" ht="15">
      <c r="A153" s="237"/>
      <c r="B153" s="238"/>
      <c r="C153" s="239" t="s">
        <v>180</v>
      </c>
      <c r="D153" s="239" t="s">
        <v>99</v>
      </c>
      <c r="E153" s="239">
        <v>1</v>
      </c>
      <c r="F153" s="239">
        <f>E153*F152</f>
        <v>14</v>
      </c>
      <c r="G153" s="239"/>
      <c r="H153" s="239"/>
      <c r="I153" s="239"/>
      <c r="J153" s="239">
        <f t="shared" ref="J153" si="106">I153*F153</f>
        <v>0</v>
      </c>
      <c r="K153" s="239"/>
      <c r="L153" s="239"/>
      <c r="M153" s="239">
        <f t="shared" ref="M153:M157" si="107">L153+J153+H153</f>
        <v>0</v>
      </c>
      <c r="N153" s="198"/>
      <c r="O153" s="198"/>
      <c r="P153" s="198"/>
      <c r="Q153" s="198"/>
      <c r="R153" s="198"/>
    </row>
    <row r="154" spans="1:18" ht="15">
      <c r="A154" s="237"/>
      <c r="B154" s="238"/>
      <c r="C154" s="239" t="s">
        <v>36</v>
      </c>
      <c r="D154" s="239" t="s">
        <v>25</v>
      </c>
      <c r="E154" s="239">
        <v>0.27700000000000002</v>
      </c>
      <c r="F154" s="239">
        <f>E154*F152</f>
        <v>3.8780000000000001</v>
      </c>
      <c r="G154" s="239"/>
      <c r="H154" s="239"/>
      <c r="I154" s="239"/>
      <c r="J154" s="239"/>
      <c r="K154" s="239"/>
      <c r="L154" s="240">
        <f t="shared" ref="L154" si="108">K154*F154</f>
        <v>0</v>
      </c>
      <c r="M154" s="240">
        <f t="shared" si="107"/>
        <v>0</v>
      </c>
      <c r="N154" s="198"/>
      <c r="O154" s="198"/>
      <c r="P154" s="198"/>
      <c r="Q154" s="198"/>
      <c r="R154" s="198"/>
    </row>
    <row r="155" spans="1:18" ht="15">
      <c r="A155" s="237"/>
      <c r="B155" s="238"/>
      <c r="C155" s="239" t="s">
        <v>845</v>
      </c>
      <c r="D155" s="239" t="s">
        <v>99</v>
      </c>
      <c r="E155" s="239"/>
      <c r="F155" s="239">
        <v>6</v>
      </c>
      <c r="G155" s="239"/>
      <c r="H155" s="239">
        <f t="shared" ref="H155:H157" si="109">G155*F155</f>
        <v>0</v>
      </c>
      <c r="I155" s="239"/>
      <c r="J155" s="239"/>
      <c r="K155" s="239"/>
      <c r="L155" s="239"/>
      <c r="M155" s="239">
        <f t="shared" si="107"/>
        <v>0</v>
      </c>
      <c r="N155" s="198"/>
      <c r="O155" s="198"/>
      <c r="P155" s="198"/>
      <c r="Q155" s="198"/>
      <c r="R155" s="198"/>
    </row>
    <row r="156" spans="1:18" ht="15">
      <c r="A156" s="237"/>
      <c r="B156" s="238"/>
      <c r="C156" s="239" t="s">
        <v>846</v>
      </c>
      <c r="D156" s="239" t="s">
        <v>19</v>
      </c>
      <c r="E156" s="239"/>
      <c r="F156" s="239">
        <v>8</v>
      </c>
      <c r="G156" s="240"/>
      <c r="H156" s="240">
        <f t="shared" si="109"/>
        <v>0</v>
      </c>
      <c r="I156" s="239"/>
      <c r="J156" s="239"/>
      <c r="K156" s="239"/>
      <c r="L156" s="239"/>
      <c r="M156" s="240">
        <f t="shared" si="107"/>
        <v>0</v>
      </c>
      <c r="N156" s="198"/>
      <c r="O156" s="198"/>
      <c r="P156" s="198"/>
      <c r="Q156" s="198"/>
      <c r="R156" s="198"/>
    </row>
    <row r="157" spans="1:18" ht="15">
      <c r="A157" s="237"/>
      <c r="B157" s="238"/>
      <c r="C157" s="239" t="s">
        <v>21</v>
      </c>
      <c r="D157" s="239" t="s">
        <v>25</v>
      </c>
      <c r="E157" s="239">
        <v>0.41</v>
      </c>
      <c r="F157" s="239">
        <f>E157*F152</f>
        <v>5.7399999999999993</v>
      </c>
      <c r="G157" s="239"/>
      <c r="H157" s="240">
        <f t="shared" si="109"/>
        <v>0</v>
      </c>
      <c r="I157" s="239"/>
      <c r="J157" s="239"/>
      <c r="K157" s="239"/>
      <c r="L157" s="239"/>
      <c r="M157" s="240">
        <f t="shared" si="107"/>
        <v>0</v>
      </c>
      <c r="N157" s="198"/>
      <c r="O157" s="198"/>
      <c r="P157" s="198"/>
      <c r="Q157" s="198"/>
      <c r="R157" s="198"/>
    </row>
    <row r="158" spans="1:18" ht="15">
      <c r="A158" s="237">
        <v>25</v>
      </c>
      <c r="B158" s="238" t="s">
        <v>848</v>
      </c>
      <c r="C158" s="237" t="s">
        <v>849</v>
      </c>
      <c r="D158" s="237" t="s">
        <v>19</v>
      </c>
      <c r="E158" s="239"/>
      <c r="F158" s="239">
        <v>12</v>
      </c>
      <c r="G158" s="239"/>
      <c r="H158" s="239"/>
      <c r="I158" s="239"/>
      <c r="J158" s="239"/>
      <c r="K158" s="239"/>
      <c r="L158" s="239"/>
      <c r="M158" s="239"/>
      <c r="N158" s="198"/>
      <c r="O158" s="198"/>
      <c r="P158" s="198"/>
      <c r="Q158" s="198"/>
      <c r="R158" s="198"/>
    </row>
    <row r="159" spans="1:18" ht="15">
      <c r="A159" s="237"/>
      <c r="B159" s="238"/>
      <c r="C159" s="239" t="s">
        <v>180</v>
      </c>
      <c r="D159" s="239" t="s">
        <v>18</v>
      </c>
      <c r="E159" s="239">
        <v>1</v>
      </c>
      <c r="F159" s="239">
        <f>E159*F158</f>
        <v>12</v>
      </c>
      <c r="G159" s="239"/>
      <c r="H159" s="239"/>
      <c r="I159" s="239"/>
      <c r="J159" s="239">
        <f t="shared" ref="J159" si="110">I159*F159</f>
        <v>0</v>
      </c>
      <c r="K159" s="239"/>
      <c r="L159" s="239"/>
      <c r="M159" s="239">
        <f t="shared" ref="M159:M162" si="111">L159+J159+H159</f>
        <v>0</v>
      </c>
      <c r="N159" s="198"/>
      <c r="O159" s="198"/>
      <c r="P159" s="198"/>
      <c r="Q159" s="198"/>
      <c r="R159" s="198"/>
    </row>
    <row r="160" spans="1:18" ht="15">
      <c r="A160" s="237"/>
      <c r="B160" s="238"/>
      <c r="C160" s="239" t="s">
        <v>36</v>
      </c>
      <c r="D160" s="239" t="s">
        <v>25</v>
      </c>
      <c r="E160" s="239">
        <v>0.76</v>
      </c>
      <c r="F160" s="239">
        <f>E160*F158</f>
        <v>9.120000000000001</v>
      </c>
      <c r="G160" s="239"/>
      <c r="H160" s="239"/>
      <c r="I160" s="239"/>
      <c r="J160" s="239"/>
      <c r="K160" s="239"/>
      <c r="L160" s="240">
        <f t="shared" ref="L160" si="112">K160*F160</f>
        <v>0</v>
      </c>
      <c r="M160" s="240">
        <f t="shared" si="111"/>
        <v>0</v>
      </c>
      <c r="N160" s="198"/>
      <c r="O160" s="198"/>
      <c r="P160" s="198"/>
      <c r="Q160" s="198"/>
      <c r="R160" s="198"/>
    </row>
    <row r="161" spans="1:18" ht="15">
      <c r="A161" s="237"/>
      <c r="B161" s="238"/>
      <c r="C161" s="239" t="s">
        <v>850</v>
      </c>
      <c r="D161" s="239" t="s">
        <v>99</v>
      </c>
      <c r="E161" s="239">
        <v>1</v>
      </c>
      <c r="F161" s="239">
        <f>E161*F158</f>
        <v>12</v>
      </c>
      <c r="G161" s="239"/>
      <c r="H161" s="239">
        <f t="shared" ref="H161:H162" si="113">G161*F161</f>
        <v>0</v>
      </c>
      <c r="I161" s="239"/>
      <c r="J161" s="239"/>
      <c r="K161" s="239"/>
      <c r="L161" s="239"/>
      <c r="M161" s="239">
        <f t="shared" si="111"/>
        <v>0</v>
      </c>
      <c r="N161" s="198"/>
      <c r="O161" s="198"/>
      <c r="P161" s="198"/>
      <c r="Q161" s="198"/>
      <c r="R161" s="198"/>
    </row>
    <row r="162" spans="1:18" ht="15">
      <c r="A162" s="237"/>
      <c r="B162" s="238"/>
      <c r="C162" s="239" t="s">
        <v>21</v>
      </c>
      <c r="D162" s="239" t="s">
        <v>25</v>
      </c>
      <c r="E162" s="239">
        <v>0.74</v>
      </c>
      <c r="F162" s="239">
        <f>E162*F158</f>
        <v>8.879999999999999</v>
      </c>
      <c r="G162" s="239"/>
      <c r="H162" s="240">
        <f t="shared" si="113"/>
        <v>0</v>
      </c>
      <c r="I162" s="378"/>
      <c r="J162" s="239"/>
      <c r="K162" s="239"/>
      <c r="L162" s="239"/>
      <c r="M162" s="240">
        <f t="shared" si="111"/>
        <v>0</v>
      </c>
      <c r="N162" s="198"/>
      <c r="O162" s="198"/>
      <c r="P162" s="198"/>
      <c r="Q162" s="198"/>
      <c r="R162" s="198"/>
    </row>
    <row r="163" spans="1:18" customFormat="1" ht="23.45" customHeight="1">
      <c r="A163" s="379">
        <v>26</v>
      </c>
      <c r="B163" s="380" t="s">
        <v>851</v>
      </c>
      <c r="C163" s="381" t="s">
        <v>853</v>
      </c>
      <c r="D163" s="382" t="s">
        <v>78</v>
      </c>
      <c r="E163" s="382"/>
      <c r="F163" s="383">
        <f>5.6/1000*F166</f>
        <v>3.3599999999999998E-2</v>
      </c>
      <c r="G163" s="382"/>
      <c r="H163" s="384"/>
      <c r="I163" s="385"/>
      <c r="J163" s="384"/>
      <c r="K163" s="382"/>
      <c r="L163" s="384"/>
      <c r="M163" s="386"/>
      <c r="N163" s="376"/>
    </row>
    <row r="164" spans="1:18" customFormat="1" ht="15.6" customHeight="1">
      <c r="A164" s="375"/>
      <c r="B164" s="107"/>
      <c r="C164" s="239" t="s">
        <v>180</v>
      </c>
      <c r="D164" s="385" t="s">
        <v>18</v>
      </c>
      <c r="E164" s="387">
        <v>1</v>
      </c>
      <c r="F164" s="387">
        <f>F163*E164</f>
        <v>3.3599999999999998E-2</v>
      </c>
      <c r="G164" s="385"/>
      <c r="H164" s="387"/>
      <c r="I164" s="387"/>
      <c r="J164" s="387">
        <f>F164*I164</f>
        <v>0</v>
      </c>
      <c r="K164" s="385"/>
      <c r="L164" s="387"/>
      <c r="M164" s="387">
        <f>H164+J164+L164</f>
        <v>0</v>
      </c>
    </row>
    <row r="165" spans="1:18" customFormat="1" ht="15.6" customHeight="1">
      <c r="A165" s="375"/>
      <c r="B165" s="107"/>
      <c r="C165" s="239" t="s">
        <v>36</v>
      </c>
      <c r="D165" s="385" t="s">
        <v>25</v>
      </c>
      <c r="E165" s="387">
        <v>162</v>
      </c>
      <c r="F165" s="387">
        <f>F163*E165</f>
        <v>5.4432</v>
      </c>
      <c r="G165" s="385"/>
      <c r="H165" s="387"/>
      <c r="I165" s="385"/>
      <c r="J165" s="387"/>
      <c r="K165" s="387"/>
      <c r="L165" s="387">
        <f>F165*K165</f>
        <v>0</v>
      </c>
      <c r="M165" s="388">
        <f>H165+J165+L165</f>
        <v>0</v>
      </c>
      <c r="N165" s="376"/>
    </row>
    <row r="166" spans="1:18" customFormat="1" ht="15.6" customHeight="1">
      <c r="A166" s="375"/>
      <c r="B166" s="107"/>
      <c r="C166" s="107" t="s">
        <v>852</v>
      </c>
      <c r="D166" s="385" t="s">
        <v>19</v>
      </c>
      <c r="E166" s="385"/>
      <c r="F166" s="387">
        <v>6</v>
      </c>
      <c r="G166" s="387"/>
      <c r="H166" s="387">
        <f>F166*G166</f>
        <v>0</v>
      </c>
      <c r="I166" s="385"/>
      <c r="J166" s="387"/>
      <c r="K166" s="385"/>
      <c r="L166" s="387"/>
      <c r="M166" s="387">
        <f>H166+J166+L166</f>
        <v>0</v>
      </c>
    </row>
    <row r="167" spans="1:18" customFormat="1" ht="15.6" customHeight="1">
      <c r="A167" s="389"/>
      <c r="B167" s="390"/>
      <c r="C167" s="239" t="s">
        <v>21</v>
      </c>
      <c r="D167" s="385" t="s">
        <v>25</v>
      </c>
      <c r="E167" s="387">
        <v>49.2</v>
      </c>
      <c r="F167" s="387">
        <f>F163*E167</f>
        <v>1.6531199999999999</v>
      </c>
      <c r="G167" s="391"/>
      <c r="H167" s="391">
        <f>G167*F167</f>
        <v>0</v>
      </c>
      <c r="I167" s="385"/>
      <c r="J167" s="387"/>
      <c r="K167" s="392"/>
      <c r="L167" s="387"/>
      <c r="M167" s="387">
        <f>H167+J167+L167</f>
        <v>0</v>
      </c>
    </row>
    <row r="168" spans="1:18" ht="15">
      <c r="A168" s="237">
        <v>27</v>
      </c>
      <c r="B168" s="238" t="s">
        <v>823</v>
      </c>
      <c r="C168" s="237" t="s">
        <v>854</v>
      </c>
      <c r="D168" s="237" t="s">
        <v>19</v>
      </c>
      <c r="E168" s="239"/>
      <c r="F168" s="239">
        <v>12</v>
      </c>
      <c r="G168" s="239"/>
      <c r="H168" s="239"/>
      <c r="I168" s="239"/>
      <c r="J168" s="239"/>
      <c r="K168" s="239"/>
      <c r="L168" s="239"/>
      <c r="M168" s="239"/>
      <c r="N168" s="198"/>
      <c r="O168" s="198"/>
      <c r="P168" s="198"/>
      <c r="Q168" s="198"/>
      <c r="R168" s="198"/>
    </row>
    <row r="169" spans="1:18" ht="15">
      <c r="A169" s="237"/>
      <c r="B169" s="238"/>
      <c r="C169" s="239" t="s">
        <v>180</v>
      </c>
      <c r="D169" s="239" t="s">
        <v>18</v>
      </c>
      <c r="E169" s="239">
        <v>1</v>
      </c>
      <c r="F169" s="239">
        <f>E169*F168</f>
        <v>12</v>
      </c>
      <c r="G169" s="239"/>
      <c r="H169" s="239"/>
      <c r="I169" s="239"/>
      <c r="J169" s="239">
        <f t="shared" ref="J169" si="114">I169*F169</f>
        <v>0</v>
      </c>
      <c r="K169" s="239"/>
      <c r="L169" s="239"/>
      <c r="M169" s="239">
        <f t="shared" ref="M169:M176" si="115">L169+J169+H169</f>
        <v>0</v>
      </c>
      <c r="N169" s="198"/>
      <c r="O169" s="198"/>
      <c r="P169" s="198"/>
      <c r="Q169" s="198"/>
      <c r="R169" s="198"/>
    </row>
    <row r="170" spans="1:18" ht="15">
      <c r="A170" s="237"/>
      <c r="B170" s="238"/>
      <c r="C170" s="239" t="s">
        <v>36</v>
      </c>
      <c r="D170" s="239" t="s">
        <v>25</v>
      </c>
      <c r="E170" s="239">
        <v>0.151</v>
      </c>
      <c r="F170" s="239">
        <f>E170*F168</f>
        <v>1.8119999999999998</v>
      </c>
      <c r="G170" s="239"/>
      <c r="H170" s="239"/>
      <c r="I170" s="239"/>
      <c r="J170" s="239"/>
      <c r="K170" s="239"/>
      <c r="L170" s="240">
        <f t="shared" ref="L170" si="116">K170*F170</f>
        <v>0</v>
      </c>
      <c r="M170" s="240">
        <f t="shared" si="115"/>
        <v>0</v>
      </c>
      <c r="N170" s="198"/>
      <c r="O170" s="198"/>
      <c r="P170" s="198"/>
      <c r="Q170" s="198"/>
      <c r="R170" s="198"/>
    </row>
    <row r="171" spans="1:18" ht="30">
      <c r="A171" s="237"/>
      <c r="B171" s="238"/>
      <c r="C171" s="239" t="s">
        <v>855</v>
      </c>
      <c r="D171" s="239" t="s">
        <v>19</v>
      </c>
      <c r="E171" s="239"/>
      <c r="F171" s="239">
        <v>2</v>
      </c>
      <c r="G171" s="239"/>
      <c r="H171" s="239">
        <f t="shared" ref="H171:H172" si="117">G171*F171</f>
        <v>0</v>
      </c>
      <c r="I171" s="239"/>
      <c r="J171" s="239"/>
      <c r="K171" s="239"/>
      <c r="L171" s="239"/>
      <c r="M171" s="239">
        <f t="shared" ref="M171:M172" si="118">L171+J171+H171</f>
        <v>0</v>
      </c>
      <c r="N171" s="198"/>
      <c r="O171" s="198"/>
      <c r="P171" s="198"/>
      <c r="Q171" s="198"/>
      <c r="R171" s="198"/>
    </row>
    <row r="172" spans="1:18" ht="30">
      <c r="A172" s="237"/>
      <c r="B172" s="238"/>
      <c r="C172" s="239" t="s">
        <v>856</v>
      </c>
      <c r="D172" s="239" t="s">
        <v>19</v>
      </c>
      <c r="E172" s="239"/>
      <c r="F172" s="239">
        <v>2</v>
      </c>
      <c r="G172" s="239"/>
      <c r="H172" s="239">
        <f t="shared" si="117"/>
        <v>0</v>
      </c>
      <c r="I172" s="239"/>
      <c r="J172" s="239"/>
      <c r="K172" s="239"/>
      <c r="L172" s="239"/>
      <c r="M172" s="239">
        <f t="shared" si="118"/>
        <v>0</v>
      </c>
      <c r="N172" s="198"/>
      <c r="O172" s="198"/>
      <c r="P172" s="198"/>
      <c r="Q172" s="198"/>
      <c r="R172" s="198"/>
    </row>
    <row r="173" spans="1:18" ht="30">
      <c r="A173" s="237"/>
      <c r="B173" s="238"/>
      <c r="C173" s="239" t="s">
        <v>857</v>
      </c>
      <c r="D173" s="239" t="s">
        <v>19</v>
      </c>
      <c r="E173" s="239"/>
      <c r="F173" s="239">
        <v>2</v>
      </c>
      <c r="G173" s="239"/>
      <c r="H173" s="239">
        <f t="shared" ref="H173:H175" si="119">G173*F173</f>
        <v>0</v>
      </c>
      <c r="I173" s="239"/>
      <c r="J173" s="239"/>
      <c r="K173" s="239"/>
      <c r="L173" s="239"/>
      <c r="M173" s="239">
        <f t="shared" si="115"/>
        <v>0</v>
      </c>
      <c r="N173" s="198"/>
      <c r="O173" s="198"/>
      <c r="P173" s="198"/>
      <c r="Q173" s="198"/>
      <c r="R173" s="198"/>
    </row>
    <row r="174" spans="1:18" ht="30">
      <c r="A174" s="237"/>
      <c r="B174" s="238"/>
      <c r="C174" s="239" t="s">
        <v>858</v>
      </c>
      <c r="D174" s="239" t="s">
        <v>19</v>
      </c>
      <c r="E174" s="239"/>
      <c r="F174" s="239">
        <v>6</v>
      </c>
      <c r="G174" s="239"/>
      <c r="H174" s="239">
        <f t="shared" ref="H174" si="120">G174*F174</f>
        <v>0</v>
      </c>
      <c r="I174" s="239"/>
      <c r="J174" s="239"/>
      <c r="K174" s="239"/>
      <c r="L174" s="239"/>
      <c r="M174" s="239">
        <f t="shared" ref="M174" si="121">L174+J174+H174</f>
        <v>0</v>
      </c>
      <c r="N174" s="198"/>
      <c r="O174" s="198"/>
      <c r="P174" s="198"/>
      <c r="Q174" s="198"/>
      <c r="R174" s="198"/>
    </row>
    <row r="175" spans="1:18" ht="15">
      <c r="A175" s="237"/>
      <c r="B175" s="238"/>
      <c r="C175" s="239" t="s">
        <v>21</v>
      </c>
      <c r="D175" s="239" t="s">
        <v>25</v>
      </c>
      <c r="E175" s="239">
        <v>2.4E-2</v>
      </c>
      <c r="F175" s="239">
        <f>E175*F168</f>
        <v>0.28800000000000003</v>
      </c>
      <c r="G175" s="239"/>
      <c r="H175" s="240">
        <f t="shared" si="119"/>
        <v>0</v>
      </c>
      <c r="I175" s="378"/>
      <c r="J175" s="239"/>
      <c r="K175" s="239"/>
      <c r="L175" s="239"/>
      <c r="M175" s="240">
        <f t="shared" si="115"/>
        <v>0</v>
      </c>
      <c r="N175" s="198"/>
      <c r="O175" s="198"/>
      <c r="P175" s="198"/>
      <c r="Q175" s="198"/>
      <c r="R175" s="198"/>
    </row>
    <row r="176" spans="1:18" ht="30">
      <c r="A176" s="237">
        <v>28</v>
      </c>
      <c r="B176" s="238"/>
      <c r="C176" s="237" t="s">
        <v>294</v>
      </c>
      <c r="D176" s="393">
        <v>0.1</v>
      </c>
      <c r="E176" s="239"/>
      <c r="F176" s="239"/>
      <c r="G176" s="239"/>
      <c r="H176" s="394">
        <f>SUM(H9:H175)*0.1</f>
        <v>0</v>
      </c>
      <c r="I176" s="239"/>
      <c r="J176" s="239"/>
      <c r="K176" s="239"/>
      <c r="L176" s="239"/>
      <c r="M176" s="240">
        <f t="shared" si="115"/>
        <v>0</v>
      </c>
      <c r="N176" s="198"/>
      <c r="O176" s="198"/>
      <c r="P176" s="198"/>
      <c r="Q176" s="198"/>
      <c r="R176" s="198"/>
    </row>
    <row r="177" spans="1:18" ht="30">
      <c r="A177" s="237"/>
      <c r="B177" s="238"/>
      <c r="C177" s="237" t="s">
        <v>859</v>
      </c>
      <c r="D177" s="395"/>
      <c r="E177" s="396"/>
      <c r="F177" s="396"/>
      <c r="G177" s="239"/>
      <c r="H177" s="394"/>
      <c r="I177" s="396"/>
      <c r="J177" s="396"/>
      <c r="K177" s="239"/>
      <c r="L177" s="396"/>
      <c r="M177" s="397"/>
      <c r="N177" s="198"/>
      <c r="O177" s="198"/>
      <c r="P177" s="198"/>
      <c r="Q177" s="198"/>
      <c r="R177" s="198"/>
    </row>
    <row r="178" spans="1:18" ht="15">
      <c r="A178" s="237">
        <v>29</v>
      </c>
      <c r="B178" s="238" t="s">
        <v>289</v>
      </c>
      <c r="C178" s="237" t="s">
        <v>860</v>
      </c>
      <c r="D178" s="398" t="s">
        <v>19</v>
      </c>
      <c r="E178" s="396"/>
      <c r="F178" s="396">
        <v>1</v>
      </c>
      <c r="G178" s="239"/>
      <c r="H178" s="239"/>
      <c r="I178" s="396"/>
      <c r="J178" s="396"/>
      <c r="K178" s="239"/>
      <c r="L178" s="396"/>
      <c r="M178" s="396"/>
      <c r="N178" s="198"/>
      <c r="O178" s="198"/>
      <c r="P178" s="198"/>
      <c r="Q178" s="198"/>
      <c r="R178" s="198"/>
    </row>
    <row r="179" spans="1:18" ht="15">
      <c r="A179" s="237"/>
      <c r="B179" s="238"/>
      <c r="C179" s="239" t="s">
        <v>180</v>
      </c>
      <c r="D179" s="239" t="s">
        <v>99</v>
      </c>
      <c r="E179" s="239">
        <v>1</v>
      </c>
      <c r="F179" s="239">
        <f>E179*F178</f>
        <v>1</v>
      </c>
      <c r="G179" s="239"/>
      <c r="H179" s="239"/>
      <c r="I179" s="239"/>
      <c r="J179" s="239">
        <f t="shared" ref="J179" si="122">I179*F179</f>
        <v>0</v>
      </c>
      <c r="K179" s="239"/>
      <c r="L179" s="239"/>
      <c r="M179" s="239">
        <f t="shared" ref="M179:M182" si="123">L179+J179+H179</f>
        <v>0</v>
      </c>
      <c r="N179" s="198"/>
      <c r="O179" s="198"/>
      <c r="P179" s="198"/>
      <c r="Q179" s="198"/>
      <c r="R179" s="198"/>
    </row>
    <row r="180" spans="1:18" ht="15">
      <c r="A180" s="237"/>
      <c r="B180" s="238"/>
      <c r="C180" s="239" t="s">
        <v>36</v>
      </c>
      <c r="D180" s="239" t="s">
        <v>25</v>
      </c>
      <c r="E180" s="239">
        <v>0.39</v>
      </c>
      <c r="F180" s="239">
        <f>E180*F178</f>
        <v>0.39</v>
      </c>
      <c r="G180" s="239"/>
      <c r="H180" s="239"/>
      <c r="I180" s="239"/>
      <c r="J180" s="239"/>
      <c r="K180" s="239"/>
      <c r="L180" s="240">
        <f t="shared" ref="L180" si="124">K180*F180</f>
        <v>0</v>
      </c>
      <c r="M180" s="240">
        <f t="shared" si="123"/>
        <v>0</v>
      </c>
      <c r="N180" s="198"/>
      <c r="O180" s="198"/>
      <c r="P180" s="198"/>
      <c r="Q180" s="198"/>
      <c r="R180" s="198"/>
    </row>
    <row r="181" spans="1:18" ht="15">
      <c r="A181" s="237"/>
      <c r="B181" s="238"/>
      <c r="C181" s="239" t="s">
        <v>777</v>
      </c>
      <c r="D181" s="239" t="s">
        <v>19</v>
      </c>
      <c r="E181" s="239">
        <v>1</v>
      </c>
      <c r="F181" s="239">
        <f>E181*F178</f>
        <v>1</v>
      </c>
      <c r="G181" s="239"/>
      <c r="H181" s="239">
        <f t="shared" ref="H181:H182" si="125">G181*F181</f>
        <v>0</v>
      </c>
      <c r="I181" s="239"/>
      <c r="J181" s="239"/>
      <c r="K181" s="239"/>
      <c r="L181" s="239"/>
      <c r="M181" s="239">
        <f t="shared" si="123"/>
        <v>0</v>
      </c>
      <c r="N181" s="198"/>
      <c r="O181" s="198"/>
      <c r="P181" s="198"/>
      <c r="Q181" s="198"/>
      <c r="R181" s="198"/>
    </row>
    <row r="182" spans="1:18" ht="15">
      <c r="A182" s="237"/>
      <c r="B182" s="238"/>
      <c r="C182" s="239" t="s">
        <v>21</v>
      </c>
      <c r="D182" s="239" t="s">
        <v>25</v>
      </c>
      <c r="E182" s="239">
        <v>1.58</v>
      </c>
      <c r="F182" s="239">
        <f>E182*F178</f>
        <v>1.58</v>
      </c>
      <c r="G182" s="239"/>
      <c r="H182" s="240">
        <f t="shared" si="125"/>
        <v>0</v>
      </c>
      <c r="I182" s="239"/>
      <c r="J182" s="239"/>
      <c r="K182" s="239"/>
      <c r="L182" s="239"/>
      <c r="M182" s="240">
        <f t="shared" si="123"/>
        <v>0</v>
      </c>
      <c r="N182" s="198"/>
      <c r="O182" s="198"/>
      <c r="P182" s="198"/>
      <c r="Q182" s="198"/>
      <c r="R182" s="198"/>
    </row>
    <row r="183" spans="1:18" ht="15">
      <c r="A183" s="237">
        <v>30</v>
      </c>
      <c r="B183" s="238" t="s">
        <v>289</v>
      </c>
      <c r="C183" s="237" t="s">
        <v>861</v>
      </c>
      <c r="D183" s="398" t="s">
        <v>19</v>
      </c>
      <c r="E183" s="396"/>
      <c r="F183" s="396">
        <v>1</v>
      </c>
      <c r="G183" s="239"/>
      <c r="H183" s="239"/>
      <c r="I183" s="396"/>
      <c r="J183" s="396"/>
      <c r="K183" s="239"/>
      <c r="L183" s="396"/>
      <c r="M183" s="396"/>
      <c r="N183" s="198"/>
      <c r="O183" s="198"/>
      <c r="P183" s="198"/>
      <c r="Q183" s="198"/>
      <c r="R183" s="198"/>
    </row>
    <row r="184" spans="1:18" ht="15">
      <c r="A184" s="237"/>
      <c r="B184" s="238"/>
      <c r="C184" s="239" t="s">
        <v>180</v>
      </c>
      <c r="D184" s="239" t="s">
        <v>99</v>
      </c>
      <c r="E184" s="239">
        <v>1</v>
      </c>
      <c r="F184" s="239">
        <f>E184*F183</f>
        <v>1</v>
      </c>
      <c r="G184" s="239"/>
      <c r="H184" s="239"/>
      <c r="I184" s="239"/>
      <c r="J184" s="239">
        <f t="shared" ref="J184" si="126">I184*F184</f>
        <v>0</v>
      </c>
      <c r="K184" s="239"/>
      <c r="L184" s="239"/>
      <c r="M184" s="239">
        <f t="shared" ref="M184:M187" si="127">L184+J184+H184</f>
        <v>0</v>
      </c>
      <c r="N184" s="198"/>
      <c r="O184" s="198"/>
      <c r="P184" s="198"/>
      <c r="Q184" s="198"/>
      <c r="R184" s="198"/>
    </row>
    <row r="185" spans="1:18" ht="15">
      <c r="A185" s="237"/>
      <c r="B185" s="238"/>
      <c r="C185" s="239" t="s">
        <v>36</v>
      </c>
      <c r="D185" s="239" t="s">
        <v>25</v>
      </c>
      <c r="E185" s="239">
        <v>0.39</v>
      </c>
      <c r="F185" s="239">
        <f>E185*F183</f>
        <v>0.39</v>
      </c>
      <c r="G185" s="239"/>
      <c r="H185" s="239"/>
      <c r="I185" s="239"/>
      <c r="J185" s="239"/>
      <c r="K185" s="239"/>
      <c r="L185" s="240">
        <f t="shared" ref="L185" si="128">K185*F185</f>
        <v>0</v>
      </c>
      <c r="M185" s="240">
        <f t="shared" si="127"/>
        <v>0</v>
      </c>
      <c r="N185" s="198"/>
      <c r="O185" s="198"/>
      <c r="P185" s="198"/>
      <c r="Q185" s="198"/>
      <c r="R185" s="198"/>
    </row>
    <row r="186" spans="1:18" ht="15">
      <c r="A186" s="237"/>
      <c r="B186" s="238"/>
      <c r="C186" s="239" t="s">
        <v>777</v>
      </c>
      <c r="D186" s="239" t="s">
        <v>19</v>
      </c>
      <c r="E186" s="239">
        <v>1</v>
      </c>
      <c r="F186" s="239">
        <f>E186*F183</f>
        <v>1</v>
      </c>
      <c r="G186" s="239"/>
      <c r="H186" s="239">
        <f t="shared" ref="H186:H187" si="129">G186*F186</f>
        <v>0</v>
      </c>
      <c r="I186" s="239"/>
      <c r="J186" s="239"/>
      <c r="K186" s="239"/>
      <c r="L186" s="239"/>
      <c r="M186" s="239">
        <f t="shared" si="127"/>
        <v>0</v>
      </c>
      <c r="N186" s="198"/>
      <c r="O186" s="198"/>
      <c r="P186" s="198"/>
      <c r="Q186" s="198"/>
      <c r="R186" s="198"/>
    </row>
    <row r="187" spans="1:18" ht="15">
      <c r="A187" s="237"/>
      <c r="B187" s="238"/>
      <c r="C187" s="239" t="s">
        <v>21</v>
      </c>
      <c r="D187" s="239" t="s">
        <v>25</v>
      </c>
      <c r="E187" s="239">
        <v>1.58</v>
      </c>
      <c r="F187" s="239">
        <f>E187*F183</f>
        <v>1.58</v>
      </c>
      <c r="G187" s="239"/>
      <c r="H187" s="240">
        <f t="shared" si="129"/>
        <v>0</v>
      </c>
      <c r="I187" s="239"/>
      <c r="J187" s="239"/>
      <c r="K187" s="239"/>
      <c r="L187" s="239"/>
      <c r="M187" s="240">
        <f t="shared" si="127"/>
        <v>0</v>
      </c>
      <c r="N187" s="198"/>
      <c r="O187" s="198"/>
      <c r="P187" s="198"/>
      <c r="Q187" s="198"/>
      <c r="R187" s="198"/>
    </row>
    <row r="188" spans="1:18" ht="15">
      <c r="A188" s="237">
        <v>31</v>
      </c>
      <c r="B188" s="238" t="s">
        <v>289</v>
      </c>
      <c r="C188" s="237" t="s">
        <v>862</v>
      </c>
      <c r="D188" s="398" t="s">
        <v>19</v>
      </c>
      <c r="E188" s="396"/>
      <c r="F188" s="396">
        <v>1</v>
      </c>
      <c r="G188" s="239"/>
      <c r="H188" s="239"/>
      <c r="I188" s="396"/>
      <c r="J188" s="396"/>
      <c r="K188" s="239"/>
      <c r="L188" s="396"/>
      <c r="M188" s="396"/>
      <c r="N188" s="198"/>
      <c r="O188" s="198"/>
      <c r="P188" s="198"/>
      <c r="Q188" s="198"/>
      <c r="R188" s="198"/>
    </row>
    <row r="189" spans="1:18" ht="15">
      <c r="A189" s="237"/>
      <c r="B189" s="238"/>
      <c r="C189" s="239" t="s">
        <v>180</v>
      </c>
      <c r="D189" s="239" t="s">
        <v>99</v>
      </c>
      <c r="E189" s="239">
        <v>1</v>
      </c>
      <c r="F189" s="239">
        <f>E189*F188</f>
        <v>1</v>
      </c>
      <c r="G189" s="239"/>
      <c r="H189" s="239"/>
      <c r="I189" s="239"/>
      <c r="J189" s="239">
        <f t="shared" ref="J189" si="130">I189*F189</f>
        <v>0</v>
      </c>
      <c r="K189" s="239"/>
      <c r="L189" s="239"/>
      <c r="M189" s="239">
        <f t="shared" ref="M189:M192" si="131">L189+J189+H189</f>
        <v>0</v>
      </c>
      <c r="N189" s="198"/>
      <c r="O189" s="198"/>
      <c r="P189" s="198"/>
      <c r="Q189" s="198"/>
      <c r="R189" s="198"/>
    </row>
    <row r="190" spans="1:18" ht="15">
      <c r="A190" s="237"/>
      <c r="B190" s="238"/>
      <c r="C190" s="239" t="s">
        <v>36</v>
      </c>
      <c r="D190" s="239" t="s">
        <v>25</v>
      </c>
      <c r="E190" s="239">
        <v>0.39</v>
      </c>
      <c r="F190" s="239">
        <f>E190*F188</f>
        <v>0.39</v>
      </c>
      <c r="G190" s="239"/>
      <c r="H190" s="239"/>
      <c r="I190" s="239"/>
      <c r="J190" s="239"/>
      <c r="K190" s="239"/>
      <c r="L190" s="240">
        <f t="shared" ref="L190" si="132">K190*F190</f>
        <v>0</v>
      </c>
      <c r="M190" s="240">
        <f t="shared" si="131"/>
        <v>0</v>
      </c>
      <c r="N190" s="198"/>
      <c r="O190" s="198"/>
      <c r="P190" s="198"/>
      <c r="Q190" s="198"/>
      <c r="R190" s="198"/>
    </row>
    <row r="191" spans="1:18" ht="15">
      <c r="A191" s="237"/>
      <c r="B191" s="238"/>
      <c r="C191" s="239" t="s">
        <v>777</v>
      </c>
      <c r="D191" s="239" t="s">
        <v>19</v>
      </c>
      <c r="E191" s="239">
        <v>1</v>
      </c>
      <c r="F191" s="239">
        <f>E191*F188</f>
        <v>1</v>
      </c>
      <c r="G191" s="239"/>
      <c r="H191" s="239">
        <f t="shared" ref="H191:H192" si="133">G191*F191</f>
        <v>0</v>
      </c>
      <c r="I191" s="239"/>
      <c r="J191" s="239"/>
      <c r="K191" s="239"/>
      <c r="L191" s="239"/>
      <c r="M191" s="239">
        <f t="shared" si="131"/>
        <v>0</v>
      </c>
      <c r="N191" s="198"/>
      <c r="O191" s="198"/>
      <c r="P191" s="198"/>
      <c r="Q191" s="198"/>
      <c r="R191" s="198"/>
    </row>
    <row r="192" spans="1:18" ht="15">
      <c r="A192" s="237"/>
      <c r="B192" s="238"/>
      <c r="C192" s="239" t="s">
        <v>21</v>
      </c>
      <c r="D192" s="239" t="s">
        <v>25</v>
      </c>
      <c r="E192" s="239">
        <v>1.58</v>
      </c>
      <c r="F192" s="239">
        <f>E192*F188</f>
        <v>1.58</v>
      </c>
      <c r="G192" s="239"/>
      <c r="H192" s="240">
        <f t="shared" si="133"/>
        <v>0</v>
      </c>
      <c r="I192" s="239"/>
      <c r="J192" s="239"/>
      <c r="K192" s="239"/>
      <c r="L192" s="239"/>
      <c r="M192" s="240">
        <f t="shared" si="131"/>
        <v>0</v>
      </c>
      <c r="N192" s="198"/>
      <c r="O192" s="198"/>
      <c r="P192" s="198"/>
      <c r="Q192" s="198"/>
      <c r="R192" s="198"/>
    </row>
    <row r="193" spans="1:18" ht="15">
      <c r="A193" s="237">
        <v>32</v>
      </c>
      <c r="B193" s="238" t="s">
        <v>289</v>
      </c>
      <c r="C193" s="237" t="s">
        <v>863</v>
      </c>
      <c r="D193" s="398" t="s">
        <v>19</v>
      </c>
      <c r="E193" s="396"/>
      <c r="F193" s="396">
        <v>1</v>
      </c>
      <c r="G193" s="239"/>
      <c r="H193" s="239"/>
      <c r="I193" s="396"/>
      <c r="J193" s="396"/>
      <c r="K193" s="239"/>
      <c r="L193" s="396"/>
      <c r="M193" s="396"/>
      <c r="N193" s="198"/>
      <c r="O193" s="198"/>
      <c r="P193" s="198"/>
      <c r="Q193" s="198"/>
      <c r="R193" s="198"/>
    </row>
    <row r="194" spans="1:18" ht="15">
      <c r="A194" s="237"/>
      <c r="B194" s="238"/>
      <c r="C194" s="239" t="s">
        <v>180</v>
      </c>
      <c r="D194" s="239" t="s">
        <v>99</v>
      </c>
      <c r="E194" s="239">
        <v>1</v>
      </c>
      <c r="F194" s="239">
        <f>E194*F193</f>
        <v>1</v>
      </c>
      <c r="G194" s="239"/>
      <c r="H194" s="239"/>
      <c r="I194" s="239"/>
      <c r="J194" s="239">
        <f t="shared" ref="J194" si="134">I194*F194</f>
        <v>0</v>
      </c>
      <c r="K194" s="239"/>
      <c r="L194" s="239"/>
      <c r="M194" s="239">
        <f t="shared" ref="M194:M197" si="135">L194+J194+H194</f>
        <v>0</v>
      </c>
      <c r="N194" s="198"/>
      <c r="O194" s="198"/>
      <c r="P194" s="198"/>
      <c r="Q194" s="198"/>
      <c r="R194" s="198"/>
    </row>
    <row r="195" spans="1:18" ht="15">
      <c r="A195" s="237"/>
      <c r="B195" s="238"/>
      <c r="C195" s="239" t="s">
        <v>36</v>
      </c>
      <c r="D195" s="239" t="s">
        <v>25</v>
      </c>
      <c r="E195" s="239">
        <v>0.39</v>
      </c>
      <c r="F195" s="239">
        <f>E195*F193</f>
        <v>0.39</v>
      </c>
      <c r="G195" s="239"/>
      <c r="H195" s="239"/>
      <c r="I195" s="239"/>
      <c r="J195" s="239"/>
      <c r="K195" s="239"/>
      <c r="L195" s="240">
        <f t="shared" ref="L195" si="136">K195*F195</f>
        <v>0</v>
      </c>
      <c r="M195" s="240">
        <f t="shared" si="135"/>
        <v>0</v>
      </c>
      <c r="N195" s="198"/>
      <c r="O195" s="198"/>
      <c r="P195" s="198"/>
      <c r="Q195" s="198"/>
      <c r="R195" s="198"/>
    </row>
    <row r="196" spans="1:18" ht="15">
      <c r="A196" s="237"/>
      <c r="B196" s="238"/>
      <c r="C196" s="239" t="s">
        <v>777</v>
      </c>
      <c r="D196" s="239" t="s">
        <v>19</v>
      </c>
      <c r="E196" s="239">
        <v>1</v>
      </c>
      <c r="F196" s="239">
        <f>E196*F193</f>
        <v>1</v>
      </c>
      <c r="G196" s="239"/>
      <c r="H196" s="239">
        <f t="shared" ref="H196:H197" si="137">G196*F196</f>
        <v>0</v>
      </c>
      <c r="I196" s="239"/>
      <c r="J196" s="239"/>
      <c r="K196" s="239"/>
      <c r="L196" s="239"/>
      <c r="M196" s="239">
        <f t="shared" si="135"/>
        <v>0</v>
      </c>
      <c r="N196" s="198"/>
      <c r="O196" s="198"/>
      <c r="P196" s="198"/>
      <c r="Q196" s="198"/>
      <c r="R196" s="198"/>
    </row>
    <row r="197" spans="1:18" ht="15">
      <c r="A197" s="237"/>
      <c r="B197" s="238"/>
      <c r="C197" s="239" t="s">
        <v>21</v>
      </c>
      <c r="D197" s="239" t="s">
        <v>25</v>
      </c>
      <c r="E197" s="239">
        <v>1.58</v>
      </c>
      <c r="F197" s="239">
        <f>E197*F193</f>
        <v>1.58</v>
      </c>
      <c r="G197" s="239"/>
      <c r="H197" s="240">
        <f t="shared" si="137"/>
        <v>0</v>
      </c>
      <c r="I197" s="239"/>
      <c r="J197" s="239"/>
      <c r="K197" s="239"/>
      <c r="L197" s="239"/>
      <c r="M197" s="240">
        <f t="shared" si="135"/>
        <v>0</v>
      </c>
      <c r="N197" s="198"/>
      <c r="O197" s="198"/>
      <c r="P197" s="198"/>
      <c r="Q197" s="198"/>
      <c r="R197" s="198"/>
    </row>
    <row r="198" spans="1:18" ht="15">
      <c r="A198" s="237">
        <v>33</v>
      </c>
      <c r="B198" s="238" t="s">
        <v>289</v>
      </c>
      <c r="C198" s="237" t="s">
        <v>864</v>
      </c>
      <c r="D198" s="398" t="s">
        <v>19</v>
      </c>
      <c r="E198" s="396"/>
      <c r="F198" s="396">
        <v>1</v>
      </c>
      <c r="G198" s="239"/>
      <c r="H198" s="239"/>
      <c r="I198" s="396"/>
      <c r="J198" s="396"/>
      <c r="K198" s="239"/>
      <c r="L198" s="396"/>
      <c r="M198" s="396"/>
      <c r="N198" s="198"/>
      <c r="O198" s="198"/>
      <c r="P198" s="198"/>
      <c r="Q198" s="198"/>
      <c r="R198" s="198"/>
    </row>
    <row r="199" spans="1:18" ht="15">
      <c r="A199" s="237"/>
      <c r="B199" s="238"/>
      <c r="C199" s="239" t="s">
        <v>180</v>
      </c>
      <c r="D199" s="239" t="s">
        <v>99</v>
      </c>
      <c r="E199" s="239">
        <v>1</v>
      </c>
      <c r="F199" s="239">
        <f>E199*F198</f>
        <v>1</v>
      </c>
      <c r="G199" s="239"/>
      <c r="H199" s="239"/>
      <c r="I199" s="239"/>
      <c r="J199" s="239">
        <f t="shared" ref="J199" si="138">I199*F199</f>
        <v>0</v>
      </c>
      <c r="K199" s="239"/>
      <c r="L199" s="239"/>
      <c r="M199" s="239">
        <f t="shared" ref="M199:M202" si="139">L199+J199+H199</f>
        <v>0</v>
      </c>
      <c r="N199" s="198"/>
      <c r="O199" s="198"/>
      <c r="P199" s="198"/>
      <c r="Q199" s="198"/>
      <c r="R199" s="198"/>
    </row>
    <row r="200" spans="1:18" ht="15">
      <c r="A200" s="237"/>
      <c r="B200" s="238"/>
      <c r="C200" s="239" t="s">
        <v>36</v>
      </c>
      <c r="D200" s="239" t="s">
        <v>25</v>
      </c>
      <c r="E200" s="239">
        <v>0.39</v>
      </c>
      <c r="F200" s="239">
        <f>E200*F198</f>
        <v>0.39</v>
      </c>
      <c r="G200" s="239"/>
      <c r="H200" s="239"/>
      <c r="I200" s="239"/>
      <c r="J200" s="239"/>
      <c r="K200" s="239"/>
      <c r="L200" s="240">
        <f t="shared" ref="L200" si="140">K200*F200</f>
        <v>0</v>
      </c>
      <c r="M200" s="240">
        <f t="shared" si="139"/>
        <v>0</v>
      </c>
      <c r="N200" s="198"/>
      <c r="O200" s="198"/>
      <c r="P200" s="198"/>
      <c r="Q200" s="198"/>
      <c r="R200" s="198"/>
    </row>
    <row r="201" spans="1:18" ht="15">
      <c r="A201" s="237"/>
      <c r="B201" s="238"/>
      <c r="C201" s="239" t="s">
        <v>777</v>
      </c>
      <c r="D201" s="239" t="s">
        <v>19</v>
      </c>
      <c r="E201" s="239">
        <v>1</v>
      </c>
      <c r="F201" s="239">
        <f>E201*F198</f>
        <v>1</v>
      </c>
      <c r="G201" s="239"/>
      <c r="H201" s="239">
        <f t="shared" ref="H201:H202" si="141">G201*F201</f>
        <v>0</v>
      </c>
      <c r="I201" s="239"/>
      <c r="J201" s="239"/>
      <c r="K201" s="239"/>
      <c r="L201" s="239"/>
      <c r="M201" s="239">
        <f t="shared" si="139"/>
        <v>0</v>
      </c>
      <c r="N201" s="198"/>
      <c r="O201" s="198"/>
      <c r="P201" s="198"/>
      <c r="Q201" s="198"/>
      <c r="R201" s="198"/>
    </row>
    <row r="202" spans="1:18" ht="15">
      <c r="A202" s="237"/>
      <c r="B202" s="238"/>
      <c r="C202" s="239" t="s">
        <v>21</v>
      </c>
      <c r="D202" s="239" t="s">
        <v>25</v>
      </c>
      <c r="E202" s="239">
        <v>1.58</v>
      </c>
      <c r="F202" s="239">
        <f>E202*F198</f>
        <v>1.58</v>
      </c>
      <c r="G202" s="239"/>
      <c r="H202" s="240">
        <f t="shared" si="141"/>
        <v>0</v>
      </c>
      <c r="I202" s="239"/>
      <c r="J202" s="239"/>
      <c r="K202" s="239"/>
      <c r="L202" s="239"/>
      <c r="M202" s="240">
        <f t="shared" si="139"/>
        <v>0</v>
      </c>
      <c r="N202" s="198"/>
      <c r="O202" s="198"/>
      <c r="P202" s="198"/>
      <c r="Q202" s="198"/>
      <c r="R202" s="198"/>
    </row>
    <row r="203" spans="1:18" ht="15">
      <c r="A203" s="237">
        <v>34</v>
      </c>
      <c r="B203" s="238" t="s">
        <v>289</v>
      </c>
      <c r="C203" s="237" t="s">
        <v>865</v>
      </c>
      <c r="D203" s="398" t="s">
        <v>19</v>
      </c>
      <c r="E203" s="396"/>
      <c r="F203" s="396">
        <v>1</v>
      </c>
      <c r="G203" s="239"/>
      <c r="H203" s="239"/>
      <c r="I203" s="396"/>
      <c r="J203" s="396"/>
      <c r="K203" s="239"/>
      <c r="L203" s="396"/>
      <c r="M203" s="396"/>
      <c r="N203" s="198"/>
      <c r="O203" s="198"/>
      <c r="P203" s="198"/>
      <c r="Q203" s="198"/>
      <c r="R203" s="198"/>
    </row>
    <row r="204" spans="1:18" ht="15">
      <c r="A204" s="237"/>
      <c r="B204" s="238"/>
      <c r="C204" s="239" t="s">
        <v>180</v>
      </c>
      <c r="D204" s="239" t="s">
        <v>99</v>
      </c>
      <c r="E204" s="239">
        <v>1</v>
      </c>
      <c r="F204" s="239">
        <f>E204*F203</f>
        <v>1</v>
      </c>
      <c r="G204" s="239"/>
      <c r="H204" s="239"/>
      <c r="I204" s="239"/>
      <c r="J204" s="239">
        <f t="shared" ref="J204" si="142">I204*F204</f>
        <v>0</v>
      </c>
      <c r="K204" s="239"/>
      <c r="L204" s="239"/>
      <c r="M204" s="239">
        <f t="shared" ref="M204:M207" si="143">L204+J204+H204</f>
        <v>0</v>
      </c>
      <c r="N204" s="198"/>
      <c r="O204" s="198"/>
      <c r="P204" s="198"/>
      <c r="Q204" s="198"/>
      <c r="R204" s="198"/>
    </row>
    <row r="205" spans="1:18" ht="15">
      <c r="A205" s="237"/>
      <c r="B205" s="238"/>
      <c r="C205" s="239" t="s">
        <v>36</v>
      </c>
      <c r="D205" s="239" t="s">
        <v>25</v>
      </c>
      <c r="E205" s="239">
        <v>0.39</v>
      </c>
      <c r="F205" s="239">
        <f>E205*F203</f>
        <v>0.39</v>
      </c>
      <c r="G205" s="239"/>
      <c r="H205" s="239"/>
      <c r="I205" s="239"/>
      <c r="J205" s="239"/>
      <c r="K205" s="239"/>
      <c r="L205" s="240">
        <f t="shared" ref="L205" si="144">K205*F205</f>
        <v>0</v>
      </c>
      <c r="M205" s="240">
        <f t="shared" si="143"/>
        <v>0</v>
      </c>
      <c r="N205" s="198"/>
      <c r="O205" s="198"/>
      <c r="P205" s="198"/>
      <c r="Q205" s="198"/>
      <c r="R205" s="198"/>
    </row>
    <row r="206" spans="1:18" ht="15">
      <c r="A206" s="237"/>
      <c r="B206" s="238"/>
      <c r="C206" s="239" t="s">
        <v>777</v>
      </c>
      <c r="D206" s="239" t="s">
        <v>19</v>
      </c>
      <c r="E206" s="239">
        <v>1</v>
      </c>
      <c r="F206" s="239">
        <f>E206*F203</f>
        <v>1</v>
      </c>
      <c r="G206" s="239"/>
      <c r="H206" s="239">
        <f t="shared" ref="H206:H207" si="145">G206*F206</f>
        <v>0</v>
      </c>
      <c r="I206" s="239"/>
      <c r="J206" s="239"/>
      <c r="K206" s="239"/>
      <c r="L206" s="239"/>
      <c r="M206" s="239">
        <f t="shared" si="143"/>
        <v>0</v>
      </c>
      <c r="N206" s="198"/>
      <c r="O206" s="198"/>
      <c r="P206" s="198"/>
      <c r="Q206" s="198"/>
      <c r="R206" s="198"/>
    </row>
    <row r="207" spans="1:18" ht="15">
      <c r="A207" s="237"/>
      <c r="B207" s="238"/>
      <c r="C207" s="239" t="s">
        <v>21</v>
      </c>
      <c r="D207" s="239" t="s">
        <v>25</v>
      </c>
      <c r="E207" s="239">
        <v>1.58</v>
      </c>
      <c r="F207" s="239">
        <f>E207*F203</f>
        <v>1.58</v>
      </c>
      <c r="G207" s="239"/>
      <c r="H207" s="240">
        <f t="shared" si="145"/>
        <v>0</v>
      </c>
      <c r="I207" s="239"/>
      <c r="J207" s="239"/>
      <c r="K207" s="239"/>
      <c r="L207" s="239"/>
      <c r="M207" s="240">
        <f t="shared" si="143"/>
        <v>0</v>
      </c>
      <c r="N207" s="198"/>
      <c r="O207" s="198"/>
      <c r="P207" s="198"/>
      <c r="Q207" s="198"/>
      <c r="R207" s="198"/>
    </row>
    <row r="208" spans="1:18" ht="15">
      <c r="A208" s="237">
        <v>35</v>
      </c>
      <c r="B208" s="238" t="s">
        <v>866</v>
      </c>
      <c r="C208" s="237" t="s">
        <v>867</v>
      </c>
      <c r="D208" s="398" t="s">
        <v>19</v>
      </c>
      <c r="E208" s="396"/>
      <c r="F208" s="396">
        <v>1</v>
      </c>
      <c r="G208" s="239"/>
      <c r="H208" s="239"/>
      <c r="I208" s="396"/>
      <c r="J208" s="396"/>
      <c r="K208" s="239"/>
      <c r="L208" s="396"/>
      <c r="M208" s="396"/>
      <c r="N208" s="198"/>
      <c r="O208" s="198"/>
      <c r="P208" s="198"/>
      <c r="Q208" s="198"/>
      <c r="R208" s="198"/>
    </row>
    <row r="209" spans="1:18" ht="15">
      <c r="A209" s="237"/>
      <c r="B209" s="238"/>
      <c r="C209" s="239" t="s">
        <v>180</v>
      </c>
      <c r="D209" s="239" t="s">
        <v>99</v>
      </c>
      <c r="E209" s="239">
        <v>1</v>
      </c>
      <c r="F209" s="239">
        <f>E209*F208</f>
        <v>1</v>
      </c>
      <c r="G209" s="239"/>
      <c r="H209" s="239"/>
      <c r="I209" s="239"/>
      <c r="J209" s="239">
        <f t="shared" ref="J209" si="146">I209*F209</f>
        <v>0</v>
      </c>
      <c r="K209" s="239"/>
      <c r="L209" s="239"/>
      <c r="M209" s="239">
        <f t="shared" ref="M209:M212" si="147">L209+J209+H209</f>
        <v>0</v>
      </c>
      <c r="N209" s="198"/>
      <c r="O209" s="198"/>
      <c r="P209" s="198"/>
      <c r="Q209" s="198"/>
      <c r="R209" s="198"/>
    </row>
    <row r="210" spans="1:18" ht="15">
      <c r="A210" s="237"/>
      <c r="B210" s="238"/>
      <c r="C210" s="239" t="s">
        <v>36</v>
      </c>
      <c r="D210" s="239" t="s">
        <v>25</v>
      </c>
      <c r="E210" s="239">
        <v>0.68</v>
      </c>
      <c r="F210" s="239">
        <f>E210*F208</f>
        <v>0.68</v>
      </c>
      <c r="G210" s="239"/>
      <c r="H210" s="239"/>
      <c r="I210" s="239"/>
      <c r="J210" s="239"/>
      <c r="K210" s="239"/>
      <c r="L210" s="240">
        <f t="shared" ref="L210" si="148">K210*F210</f>
        <v>0</v>
      </c>
      <c r="M210" s="240">
        <f t="shared" si="147"/>
        <v>0</v>
      </c>
      <c r="N210" s="198"/>
      <c r="O210" s="198"/>
      <c r="P210" s="198"/>
      <c r="Q210" s="198"/>
      <c r="R210" s="198"/>
    </row>
    <row r="211" spans="1:18" ht="15">
      <c r="A211" s="237"/>
      <c r="B211" s="238"/>
      <c r="C211" s="239" t="s">
        <v>868</v>
      </c>
      <c r="D211" s="239" t="s">
        <v>19</v>
      </c>
      <c r="E211" s="239">
        <v>1</v>
      </c>
      <c r="F211" s="239">
        <f>E211*F208</f>
        <v>1</v>
      </c>
      <c r="G211" s="239"/>
      <c r="H211" s="239">
        <f t="shared" ref="H211:H212" si="149">G211*F211</f>
        <v>0</v>
      </c>
      <c r="I211" s="239"/>
      <c r="J211" s="239"/>
      <c r="K211" s="239"/>
      <c r="L211" s="239"/>
      <c r="M211" s="239">
        <f t="shared" si="147"/>
        <v>0</v>
      </c>
      <c r="N211" s="198"/>
      <c r="O211" s="198"/>
      <c r="P211" s="198"/>
      <c r="Q211" s="198"/>
      <c r="R211" s="198"/>
    </row>
    <row r="212" spans="1:18" ht="15">
      <c r="A212" s="237"/>
      <c r="B212" s="238"/>
      <c r="C212" s="239" t="s">
        <v>21</v>
      </c>
      <c r="D212" s="239" t="s">
        <v>25</v>
      </c>
      <c r="E212" s="239">
        <v>0.12</v>
      </c>
      <c r="F212" s="239">
        <f>E212*F208</f>
        <v>0.12</v>
      </c>
      <c r="G212" s="239"/>
      <c r="H212" s="240">
        <f t="shared" si="149"/>
        <v>0</v>
      </c>
      <c r="I212" s="239"/>
      <c r="J212" s="239"/>
      <c r="K212" s="239"/>
      <c r="L212" s="239"/>
      <c r="M212" s="240">
        <f t="shared" si="147"/>
        <v>0</v>
      </c>
      <c r="N212" s="198"/>
      <c r="O212" s="198"/>
      <c r="P212" s="198"/>
      <c r="Q212" s="198"/>
      <c r="R212" s="198"/>
    </row>
    <row r="213" spans="1:18" ht="15">
      <c r="A213" s="237">
        <v>36</v>
      </c>
      <c r="B213" s="238" t="s">
        <v>869</v>
      </c>
      <c r="C213" s="237" t="s">
        <v>872</v>
      </c>
      <c r="D213" s="398" t="s">
        <v>19</v>
      </c>
      <c r="E213" s="396"/>
      <c r="F213" s="396">
        <v>8</v>
      </c>
      <c r="G213" s="239"/>
      <c r="H213" s="239"/>
      <c r="I213" s="396"/>
      <c r="J213" s="396"/>
      <c r="K213" s="239"/>
      <c r="L213" s="396"/>
      <c r="M213" s="396"/>
      <c r="N213" s="198"/>
      <c r="O213" s="198"/>
      <c r="P213" s="198"/>
      <c r="Q213" s="198"/>
      <c r="R213" s="198"/>
    </row>
    <row r="214" spans="1:18" ht="15">
      <c r="A214" s="237"/>
      <c r="B214" s="238"/>
      <c r="C214" s="239" t="s">
        <v>180</v>
      </c>
      <c r="D214" s="239" t="s">
        <v>99</v>
      </c>
      <c r="E214" s="239">
        <v>1</v>
      </c>
      <c r="F214" s="239">
        <f>E214*F213</f>
        <v>8</v>
      </c>
      <c r="G214" s="239"/>
      <c r="H214" s="239"/>
      <c r="I214" s="239"/>
      <c r="J214" s="239">
        <f t="shared" ref="J214" si="150">I214*F214</f>
        <v>0</v>
      </c>
      <c r="K214" s="239"/>
      <c r="L214" s="239"/>
      <c r="M214" s="239">
        <f t="shared" ref="M214:M218" si="151">L214+J214+H214</f>
        <v>0</v>
      </c>
      <c r="N214" s="198"/>
      <c r="O214" s="198"/>
      <c r="P214" s="198"/>
      <c r="Q214" s="198"/>
      <c r="R214" s="198"/>
    </row>
    <row r="215" spans="1:18" ht="15">
      <c r="A215" s="237"/>
      <c r="B215" s="238"/>
      <c r="C215" s="239" t="s">
        <v>36</v>
      </c>
      <c r="D215" s="239" t="s">
        <v>25</v>
      </c>
      <c r="E215" s="239">
        <v>0.09</v>
      </c>
      <c r="F215" s="239">
        <f>E215*F213</f>
        <v>0.72</v>
      </c>
      <c r="G215" s="239"/>
      <c r="H215" s="239"/>
      <c r="I215" s="239"/>
      <c r="J215" s="239"/>
      <c r="K215" s="239"/>
      <c r="L215" s="240">
        <f t="shared" ref="L215" si="152">K215*F215</f>
        <v>0</v>
      </c>
      <c r="M215" s="240">
        <f t="shared" si="151"/>
        <v>0</v>
      </c>
      <c r="N215" s="198"/>
      <c r="O215" s="198"/>
      <c r="P215" s="198"/>
      <c r="Q215" s="198"/>
      <c r="R215" s="198"/>
    </row>
    <row r="216" spans="1:18" ht="15">
      <c r="A216" s="237"/>
      <c r="B216" s="238"/>
      <c r="C216" s="239" t="s">
        <v>870</v>
      </c>
      <c r="D216" s="239" t="s">
        <v>19</v>
      </c>
      <c r="E216" s="239"/>
      <c r="F216" s="239">
        <v>6</v>
      </c>
      <c r="G216" s="239"/>
      <c r="H216" s="239">
        <f t="shared" ref="H216:H218" si="153">G216*F216</f>
        <v>0</v>
      </c>
      <c r="I216" s="239"/>
      <c r="J216" s="239"/>
      <c r="K216" s="239"/>
      <c r="L216" s="239"/>
      <c r="M216" s="239">
        <f t="shared" si="151"/>
        <v>0</v>
      </c>
      <c r="N216" s="198"/>
      <c r="O216" s="198"/>
      <c r="P216" s="198"/>
      <c r="Q216" s="198"/>
      <c r="R216" s="198"/>
    </row>
    <row r="217" spans="1:18" ht="15">
      <c r="A217" s="237"/>
      <c r="B217" s="238"/>
      <c r="C217" s="239" t="s">
        <v>871</v>
      </c>
      <c r="D217" s="239" t="s">
        <v>19</v>
      </c>
      <c r="E217" s="239"/>
      <c r="F217" s="239">
        <v>2</v>
      </c>
      <c r="G217" s="239"/>
      <c r="H217" s="239">
        <f t="shared" ref="H217" si="154">G217*F217</f>
        <v>0</v>
      </c>
      <c r="I217" s="239"/>
      <c r="J217" s="239"/>
      <c r="K217" s="239"/>
      <c r="L217" s="239"/>
      <c r="M217" s="239">
        <f t="shared" ref="M217" si="155">L217+J217+H217</f>
        <v>0</v>
      </c>
      <c r="N217" s="198"/>
      <c r="O217" s="198"/>
      <c r="P217" s="198"/>
      <c r="Q217" s="198"/>
      <c r="R217" s="198"/>
    </row>
    <row r="218" spans="1:18" ht="15">
      <c r="A218" s="237"/>
      <c r="B218" s="238"/>
      <c r="C218" s="239" t="s">
        <v>21</v>
      </c>
      <c r="D218" s="239" t="s">
        <v>25</v>
      </c>
      <c r="E218" s="239">
        <v>0.88</v>
      </c>
      <c r="F218" s="239">
        <f>E218*F213</f>
        <v>7.04</v>
      </c>
      <c r="G218" s="239"/>
      <c r="H218" s="240">
        <f t="shared" si="153"/>
        <v>0</v>
      </c>
      <c r="I218" s="239"/>
      <c r="J218" s="239"/>
      <c r="K218" s="239"/>
      <c r="L218" s="239"/>
      <c r="M218" s="240">
        <f t="shared" si="151"/>
        <v>0</v>
      </c>
      <c r="N218" s="198"/>
      <c r="O218" s="198"/>
      <c r="P218" s="198"/>
      <c r="Q218" s="198"/>
      <c r="R218" s="198"/>
    </row>
    <row r="219" spans="1:18" ht="15">
      <c r="A219" s="237">
        <v>37</v>
      </c>
      <c r="B219" s="238" t="s">
        <v>873</v>
      </c>
      <c r="C219" s="237" t="s">
        <v>872</v>
      </c>
      <c r="D219" s="398" t="s">
        <v>19</v>
      </c>
      <c r="E219" s="396"/>
      <c r="F219" s="396">
        <v>4</v>
      </c>
      <c r="G219" s="239"/>
      <c r="H219" s="239"/>
      <c r="I219" s="396"/>
      <c r="J219" s="396"/>
      <c r="K219" s="239"/>
      <c r="L219" s="396"/>
      <c r="M219" s="396"/>
      <c r="N219" s="198"/>
      <c r="O219" s="198"/>
      <c r="P219" s="198"/>
      <c r="Q219" s="198"/>
      <c r="R219" s="198"/>
    </row>
    <row r="220" spans="1:18" ht="15">
      <c r="A220" s="237"/>
      <c r="B220" s="238"/>
      <c r="C220" s="239" t="s">
        <v>180</v>
      </c>
      <c r="D220" s="239" t="s">
        <v>99</v>
      </c>
      <c r="E220" s="239">
        <v>1</v>
      </c>
      <c r="F220" s="239">
        <f>E220*F219</f>
        <v>4</v>
      </c>
      <c r="G220" s="239"/>
      <c r="H220" s="239"/>
      <c r="I220" s="239"/>
      <c r="J220" s="239">
        <f t="shared" ref="J220" si="156">I220*F220</f>
        <v>0</v>
      </c>
      <c r="K220" s="239"/>
      <c r="L220" s="239"/>
      <c r="M220" s="239">
        <f t="shared" ref="M220:M225" si="157">L220+J220+H220</f>
        <v>0</v>
      </c>
      <c r="N220" s="198"/>
      <c r="O220" s="198"/>
      <c r="P220" s="198"/>
      <c r="Q220" s="198"/>
      <c r="R220" s="198"/>
    </row>
    <row r="221" spans="1:18" ht="15">
      <c r="A221" s="237"/>
      <c r="B221" s="238"/>
      <c r="C221" s="239" t="s">
        <v>36</v>
      </c>
      <c r="D221" s="239" t="s">
        <v>25</v>
      </c>
      <c r="E221" s="239">
        <v>0.02</v>
      </c>
      <c r="F221" s="239">
        <f>E221*F219</f>
        <v>0.08</v>
      </c>
      <c r="G221" s="239"/>
      <c r="H221" s="239"/>
      <c r="I221" s="239"/>
      <c r="J221" s="239"/>
      <c r="K221" s="239"/>
      <c r="L221" s="240">
        <f t="shared" ref="L221" si="158">K221*F221</f>
        <v>0</v>
      </c>
      <c r="M221" s="240">
        <f t="shared" si="157"/>
        <v>0</v>
      </c>
      <c r="N221" s="198"/>
      <c r="O221" s="198"/>
      <c r="P221" s="198"/>
      <c r="Q221" s="198"/>
      <c r="R221" s="198"/>
    </row>
    <row r="222" spans="1:18" ht="15">
      <c r="A222" s="237"/>
      <c r="B222" s="238"/>
      <c r="C222" s="239" t="s">
        <v>874</v>
      </c>
      <c r="D222" s="239" t="s">
        <v>19</v>
      </c>
      <c r="E222" s="239"/>
      <c r="F222" s="239">
        <v>2</v>
      </c>
      <c r="G222" s="239"/>
      <c r="H222" s="239">
        <f t="shared" ref="H222:H224" si="159">G222*F222</f>
        <v>0</v>
      </c>
      <c r="I222" s="239"/>
      <c r="J222" s="239"/>
      <c r="K222" s="239"/>
      <c r="L222" s="239"/>
      <c r="M222" s="239">
        <f t="shared" si="157"/>
        <v>0</v>
      </c>
      <c r="N222" s="198"/>
      <c r="O222" s="198"/>
      <c r="P222" s="198"/>
      <c r="Q222" s="198"/>
      <c r="R222" s="198"/>
    </row>
    <row r="223" spans="1:18" ht="15">
      <c r="A223" s="237"/>
      <c r="B223" s="238"/>
      <c r="C223" s="239" t="s">
        <v>875</v>
      </c>
      <c r="D223" s="239" t="s">
        <v>19</v>
      </c>
      <c r="E223" s="239"/>
      <c r="F223" s="239">
        <v>2</v>
      </c>
      <c r="G223" s="239"/>
      <c r="H223" s="239">
        <f t="shared" si="159"/>
        <v>0</v>
      </c>
      <c r="I223" s="239"/>
      <c r="J223" s="239"/>
      <c r="K223" s="239"/>
      <c r="L223" s="239"/>
      <c r="M223" s="239">
        <f t="shared" si="157"/>
        <v>0</v>
      </c>
      <c r="N223" s="198"/>
      <c r="O223" s="198"/>
      <c r="P223" s="198"/>
      <c r="Q223" s="198"/>
      <c r="R223" s="198"/>
    </row>
    <row r="224" spans="1:18" ht="15">
      <c r="A224" s="237"/>
      <c r="B224" s="238"/>
      <c r="C224" s="239" t="s">
        <v>21</v>
      </c>
      <c r="D224" s="239" t="s">
        <v>25</v>
      </c>
      <c r="E224" s="239">
        <v>0.49</v>
      </c>
      <c r="F224" s="239">
        <f>E224*F219</f>
        <v>1.96</v>
      </c>
      <c r="G224" s="239"/>
      <c r="H224" s="240">
        <f t="shared" si="159"/>
        <v>0</v>
      </c>
      <c r="I224" s="239"/>
      <c r="J224" s="239"/>
      <c r="K224" s="239"/>
      <c r="L224" s="239"/>
      <c r="M224" s="240">
        <f t="shared" si="157"/>
        <v>0</v>
      </c>
      <c r="N224" s="198"/>
      <c r="O224" s="198"/>
      <c r="P224" s="198"/>
      <c r="Q224" s="198"/>
      <c r="R224" s="198"/>
    </row>
    <row r="225" spans="1:18" ht="135">
      <c r="A225" s="237">
        <v>38</v>
      </c>
      <c r="B225" s="238"/>
      <c r="C225" s="237" t="s">
        <v>876</v>
      </c>
      <c r="D225" s="393" t="s">
        <v>877</v>
      </c>
      <c r="E225" s="239"/>
      <c r="F225" s="239"/>
      <c r="G225" s="239"/>
      <c r="H225" s="394">
        <f>SUM(H178:H207)*0.4</f>
        <v>0</v>
      </c>
      <c r="I225" s="239"/>
      <c r="J225" s="239"/>
      <c r="K225" s="239"/>
      <c r="L225" s="239"/>
      <c r="M225" s="240">
        <f t="shared" si="157"/>
        <v>0</v>
      </c>
      <c r="N225" s="198"/>
      <c r="O225" s="198"/>
      <c r="P225" s="198"/>
      <c r="Q225" s="198"/>
      <c r="R225" s="198"/>
    </row>
    <row r="226" spans="1:18" ht="15.75" thickBot="1">
      <c r="A226" s="210"/>
      <c r="B226" s="211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3"/>
      <c r="N226" s="198"/>
      <c r="O226" s="198"/>
      <c r="P226" s="198"/>
      <c r="Q226" s="198"/>
      <c r="R226" s="198"/>
    </row>
    <row r="227" spans="1:18" s="220" customFormat="1" ht="15.75" thickBot="1">
      <c r="A227" s="214"/>
      <c r="B227" s="215"/>
      <c r="C227" s="216" t="s">
        <v>60</v>
      </c>
      <c r="D227" s="217"/>
      <c r="E227" s="214"/>
      <c r="F227" s="214"/>
      <c r="G227" s="214"/>
      <c r="H227" s="218">
        <f>SUM(H7:H226)</f>
        <v>0</v>
      </c>
      <c r="I227" s="214"/>
      <c r="J227" s="218">
        <f>SUM(J7:J226)</f>
        <v>0</v>
      </c>
      <c r="K227" s="214"/>
      <c r="L227" s="218">
        <f>SUM(L7:L226)</f>
        <v>0</v>
      </c>
      <c r="M227" s="218">
        <f>SUM(M7:M226)</f>
        <v>0</v>
      </c>
      <c r="N227" s="219"/>
      <c r="O227" s="219"/>
      <c r="P227" s="219"/>
      <c r="Q227" s="219"/>
      <c r="R227" s="219"/>
    </row>
    <row r="228" spans="1:18" ht="15.75" thickBot="1">
      <c r="A228" s="221"/>
      <c r="B228" s="222"/>
      <c r="C228" s="223" t="s">
        <v>158</v>
      </c>
      <c r="D228" s="224">
        <v>0</v>
      </c>
      <c r="E228" s="225"/>
      <c r="F228" s="225"/>
      <c r="G228" s="225"/>
      <c r="H228" s="226">
        <f>H227*D228</f>
        <v>0</v>
      </c>
      <c r="I228" s="226"/>
      <c r="J228" s="226"/>
      <c r="K228" s="226"/>
      <c r="L228" s="226"/>
      <c r="M228" s="227">
        <f>H228</f>
        <v>0</v>
      </c>
      <c r="N228" s="198"/>
      <c r="O228" s="198"/>
      <c r="P228" s="198"/>
      <c r="Q228" s="198"/>
      <c r="R228" s="198"/>
    </row>
    <row r="229" spans="1:18" ht="15.75" thickBot="1">
      <c r="A229" s="221"/>
      <c r="B229" s="222"/>
      <c r="C229" s="223" t="s">
        <v>60</v>
      </c>
      <c r="D229" s="223"/>
      <c r="E229" s="225"/>
      <c r="F229" s="225"/>
      <c r="G229" s="225"/>
      <c r="H229" s="226"/>
      <c r="I229" s="226"/>
      <c r="J229" s="226"/>
      <c r="K229" s="226"/>
      <c r="L229" s="226"/>
      <c r="M229" s="227">
        <f>M228+M227</f>
        <v>0</v>
      </c>
      <c r="N229" s="198"/>
      <c r="O229" s="198"/>
      <c r="P229" s="198"/>
      <c r="Q229" s="198"/>
      <c r="R229" s="198"/>
    </row>
    <row r="230" spans="1:18" ht="15.75" thickBot="1">
      <c r="A230" s="221"/>
      <c r="B230" s="222"/>
      <c r="C230" s="228" t="s">
        <v>61</v>
      </c>
      <c r="D230" s="229">
        <v>0</v>
      </c>
      <c r="E230" s="225"/>
      <c r="F230" s="225"/>
      <c r="G230" s="225"/>
      <c r="H230" s="226"/>
      <c r="I230" s="226"/>
      <c r="J230" s="226"/>
      <c r="K230" s="226"/>
      <c r="L230" s="226"/>
      <c r="M230" s="227">
        <f>M229*D230</f>
        <v>0</v>
      </c>
      <c r="N230" s="198"/>
      <c r="O230" s="198"/>
      <c r="P230" s="198"/>
      <c r="Q230" s="198"/>
      <c r="R230" s="198"/>
    </row>
    <row r="231" spans="1:18" ht="15.75" thickBot="1">
      <c r="A231" s="221"/>
      <c r="B231" s="222"/>
      <c r="C231" s="223" t="s">
        <v>60</v>
      </c>
      <c r="D231" s="223"/>
      <c r="E231" s="225"/>
      <c r="F231" s="225"/>
      <c r="G231" s="225"/>
      <c r="H231" s="226"/>
      <c r="I231" s="226"/>
      <c r="J231" s="226"/>
      <c r="K231" s="226"/>
      <c r="L231" s="226"/>
      <c r="M231" s="227">
        <f>M230+M229</f>
        <v>0</v>
      </c>
      <c r="N231" s="198"/>
      <c r="O231" s="198"/>
      <c r="P231" s="198"/>
      <c r="Q231" s="198"/>
      <c r="R231" s="198"/>
    </row>
    <row r="232" spans="1:18" ht="15.75" thickBot="1">
      <c r="A232" s="221"/>
      <c r="B232" s="222"/>
      <c r="C232" s="228" t="s">
        <v>62</v>
      </c>
      <c r="D232" s="229">
        <v>0</v>
      </c>
      <c r="E232" s="225"/>
      <c r="F232" s="225"/>
      <c r="G232" s="225"/>
      <c r="H232" s="226"/>
      <c r="I232" s="226"/>
      <c r="J232" s="226"/>
      <c r="K232" s="226"/>
      <c r="L232" s="226"/>
      <c r="M232" s="227">
        <f>M231*D232</f>
        <v>0</v>
      </c>
      <c r="N232" s="198"/>
      <c r="O232" s="198"/>
      <c r="P232" s="198"/>
      <c r="Q232" s="198"/>
      <c r="R232" s="198"/>
    </row>
    <row r="233" spans="1:18" ht="15.75" thickBot="1">
      <c r="A233" s="221"/>
      <c r="B233" s="222"/>
      <c r="C233" s="223" t="s">
        <v>60</v>
      </c>
      <c r="D233" s="223"/>
      <c r="E233" s="225"/>
      <c r="F233" s="225"/>
      <c r="G233" s="225"/>
      <c r="H233" s="226"/>
      <c r="I233" s="226"/>
      <c r="J233" s="226"/>
      <c r="K233" s="226"/>
      <c r="L233" s="226"/>
      <c r="M233" s="227">
        <f>M232+M231</f>
        <v>0</v>
      </c>
      <c r="N233" s="198"/>
      <c r="O233" s="198"/>
      <c r="P233" s="198"/>
      <c r="Q233" s="198"/>
      <c r="R233" s="198"/>
    </row>
    <row r="234" spans="1:18" ht="15.75" thickBot="1">
      <c r="A234" s="221"/>
      <c r="B234" s="222"/>
      <c r="C234" s="228" t="s">
        <v>159</v>
      </c>
      <c r="D234" s="229">
        <v>0</v>
      </c>
      <c r="E234" s="225"/>
      <c r="F234" s="225"/>
      <c r="G234" s="225"/>
      <c r="H234" s="226"/>
      <c r="I234" s="226"/>
      <c r="J234" s="226"/>
      <c r="K234" s="226"/>
      <c r="L234" s="226"/>
      <c r="M234" s="227">
        <f>M233*D234</f>
        <v>0</v>
      </c>
      <c r="N234" s="198"/>
      <c r="O234" s="198"/>
      <c r="P234" s="198"/>
      <c r="Q234" s="198"/>
      <c r="R234" s="198"/>
    </row>
    <row r="235" spans="1:18" ht="15.75" thickBot="1">
      <c r="A235" s="221"/>
      <c r="B235" s="222"/>
      <c r="C235" s="223" t="s">
        <v>60</v>
      </c>
      <c r="D235" s="223"/>
      <c r="E235" s="225"/>
      <c r="F235" s="225"/>
      <c r="G235" s="225"/>
      <c r="H235" s="226"/>
      <c r="I235" s="226"/>
      <c r="J235" s="226"/>
      <c r="K235" s="226"/>
      <c r="L235" s="226"/>
      <c r="M235" s="227">
        <f>M234+M233</f>
        <v>0</v>
      </c>
      <c r="N235" s="198"/>
      <c r="O235" s="198"/>
      <c r="P235" s="198"/>
      <c r="Q235" s="198"/>
      <c r="R235" s="198"/>
    </row>
    <row r="236" spans="1:18" ht="15.75" thickBot="1">
      <c r="A236" s="221"/>
      <c r="B236" s="222"/>
      <c r="C236" s="223" t="s">
        <v>63</v>
      </c>
      <c r="D236" s="229">
        <v>0.18</v>
      </c>
      <c r="E236" s="225"/>
      <c r="F236" s="225"/>
      <c r="G236" s="225"/>
      <c r="H236" s="226"/>
      <c r="I236" s="226"/>
      <c r="J236" s="226"/>
      <c r="K236" s="226"/>
      <c r="L236" s="226"/>
      <c r="M236" s="227">
        <f>M235*D236</f>
        <v>0</v>
      </c>
      <c r="N236" s="198"/>
      <c r="O236" s="198"/>
      <c r="P236" s="198"/>
      <c r="Q236" s="198"/>
      <c r="R236" s="198"/>
    </row>
    <row r="237" spans="1:18" ht="15.75" thickBot="1">
      <c r="A237" s="230"/>
      <c r="B237" s="231"/>
      <c r="C237" s="232" t="s">
        <v>60</v>
      </c>
      <c r="D237" s="232"/>
      <c r="E237" s="232"/>
      <c r="F237" s="232"/>
      <c r="G237" s="232"/>
      <c r="H237" s="233"/>
      <c r="I237" s="233"/>
      <c r="J237" s="233"/>
      <c r="K237" s="233"/>
      <c r="L237" s="233"/>
      <c r="M237" s="218">
        <f>M236+M235</f>
        <v>0</v>
      </c>
      <c r="N237" s="198"/>
      <c r="O237" s="198"/>
      <c r="P237" s="198"/>
      <c r="Q237" s="198"/>
      <c r="R237" s="198"/>
    </row>
    <row r="238" spans="1:18" ht="15">
      <c r="A238" s="196"/>
      <c r="B238" s="197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</row>
    <row r="239" spans="1:18" ht="15">
      <c r="A239" s="196"/>
      <c r="B239" s="197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</row>
    <row r="240" spans="1:18" ht="15">
      <c r="A240" s="196"/>
      <c r="B240" s="197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</row>
    <row r="241" spans="1:18" ht="15">
      <c r="A241" s="196"/>
      <c r="B241" s="197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</row>
    <row r="242" spans="1:18" ht="15">
      <c r="A242" s="196"/>
      <c r="B242" s="197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</row>
    <row r="243" spans="1:18" ht="15">
      <c r="A243" s="196"/>
      <c r="B243" s="197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</row>
    <row r="244" spans="1:18" ht="15">
      <c r="A244" s="196"/>
      <c r="B244" s="197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</row>
    <row r="245" spans="1:18" ht="15">
      <c r="A245" s="196"/>
      <c r="B245" s="197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</row>
    <row r="246" spans="1:18" ht="15">
      <c r="A246" s="196"/>
      <c r="B246" s="197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</row>
    <row r="247" spans="1:18" ht="15">
      <c r="A247" s="196"/>
      <c r="B247" s="197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</row>
    <row r="248" spans="1:18" ht="15">
      <c r="A248" s="196"/>
      <c r="B248" s="197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</row>
    <row r="249" spans="1:18" ht="15">
      <c r="A249" s="196"/>
      <c r="B249" s="197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</row>
    <row r="250" spans="1:18" ht="15">
      <c r="A250" s="196"/>
      <c r="B250" s="197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</row>
    <row r="251" spans="1:18" ht="15">
      <c r="A251" s="196"/>
      <c r="B251" s="197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</row>
    <row r="252" spans="1:18" ht="15">
      <c r="A252" s="196"/>
      <c r="B252" s="197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</row>
    <row r="253" spans="1:18" ht="15">
      <c r="A253" s="196"/>
      <c r="B253" s="197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</row>
    <row r="254" spans="1:18" ht="15">
      <c r="A254" s="196"/>
      <c r="B254" s="197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</row>
    <row r="255" spans="1:18" ht="15">
      <c r="A255" s="196"/>
      <c r="B255" s="197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</row>
    <row r="256" spans="1:18" ht="15">
      <c r="A256" s="196"/>
      <c r="B256" s="197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</row>
    <row r="257" spans="1:18" ht="15">
      <c r="A257" s="196"/>
      <c r="B257" s="197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</row>
    <row r="258" spans="1:18" ht="15">
      <c r="A258" s="196"/>
      <c r="B258" s="197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</row>
    <row r="259" spans="1:18" ht="15">
      <c r="A259" s="196"/>
      <c r="B259" s="197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</row>
    <row r="260" spans="1:18" ht="15">
      <c r="A260" s="196"/>
      <c r="B260" s="197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</row>
    <row r="261" spans="1:18" ht="15">
      <c r="A261" s="196"/>
      <c r="B261" s="197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</row>
    <row r="262" spans="1:18" ht="15">
      <c r="A262" s="196"/>
      <c r="B262" s="197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</row>
    <row r="263" spans="1:18" ht="15">
      <c r="A263" s="196"/>
      <c r="B263" s="197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</row>
    <row r="264" spans="1:18" ht="15">
      <c r="A264" s="196"/>
      <c r="B264" s="197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</row>
    <row r="265" spans="1:18" ht="15">
      <c r="A265" s="196"/>
      <c r="B265" s="197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</row>
    <row r="266" spans="1:18" ht="15">
      <c r="A266" s="196"/>
      <c r="B266" s="197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</row>
    <row r="267" spans="1:18" ht="15">
      <c r="A267" s="196"/>
      <c r="B267" s="197"/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</row>
    <row r="268" spans="1:18" ht="15">
      <c r="A268" s="196"/>
      <c r="B268" s="197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</row>
    <row r="269" spans="1:18" ht="15">
      <c r="A269" s="196"/>
      <c r="B269" s="197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</row>
    <row r="270" spans="1:18" ht="15">
      <c r="A270" s="196"/>
      <c r="B270" s="197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</row>
    <row r="271" spans="1:18" ht="15">
      <c r="A271" s="196"/>
      <c r="B271" s="197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</row>
    <row r="272" spans="1:18" ht="15">
      <c r="A272" s="196"/>
      <c r="B272" s="197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</row>
    <row r="273" spans="1:18" ht="15">
      <c r="A273" s="196"/>
      <c r="B273" s="197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</row>
    <row r="274" spans="1:18" ht="15">
      <c r="A274" s="196"/>
      <c r="B274" s="197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</row>
    <row r="275" spans="1:18" ht="15">
      <c r="A275" s="196"/>
      <c r="B275" s="197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</row>
    <row r="276" spans="1:18" ht="15">
      <c r="A276" s="196"/>
      <c r="B276" s="197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</row>
    <row r="277" spans="1:18" ht="15">
      <c r="A277" s="196"/>
      <c r="B277" s="197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</row>
    <row r="278" spans="1:18" ht="15">
      <c r="A278" s="196"/>
      <c r="B278" s="197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</row>
    <row r="279" spans="1:18" ht="15">
      <c r="A279" s="196"/>
      <c r="B279" s="197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</row>
    <row r="280" spans="1:18" ht="15">
      <c r="A280" s="196"/>
      <c r="B280" s="197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</row>
    <row r="281" spans="1:18" ht="15">
      <c r="A281" s="196"/>
      <c r="B281" s="197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</row>
    <row r="282" spans="1:18" ht="15">
      <c r="A282" s="196"/>
      <c r="B282" s="197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</row>
    <row r="283" spans="1:18" ht="15">
      <c r="A283" s="196"/>
      <c r="B283" s="197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</row>
    <row r="284" spans="1:18" ht="15">
      <c r="A284" s="196"/>
      <c r="B284" s="197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</row>
    <row r="285" spans="1:18" ht="15">
      <c r="A285" s="196"/>
      <c r="B285" s="197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</row>
    <row r="286" spans="1:18" ht="15">
      <c r="A286" s="196"/>
      <c r="B286" s="197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</row>
  </sheetData>
  <autoFilter ref="A6:M6" xr:uid="{D7FD0713-C8E1-4D4F-AA67-78FECCD7188C}"/>
  <mergeCells count="8">
    <mergeCell ref="K4:L4"/>
    <mergeCell ref="M4:M5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5569-7CFB-46A3-9F22-20718AF026A2}">
  <sheetPr>
    <tabColor rgb="FFFFFF00"/>
  </sheetPr>
  <dimension ref="A1:S265"/>
  <sheetViews>
    <sheetView showGridLines="0" workbookViewId="0">
      <selection activeCell="P230" sqref="P230"/>
    </sheetView>
  </sheetViews>
  <sheetFormatPr defaultRowHeight="12.75"/>
  <cols>
    <col min="1" max="1" width="4.140625" style="234" customWidth="1"/>
    <col min="2" max="2" width="9.28515625" style="235" customWidth="1"/>
    <col min="3" max="3" width="39.7109375" style="199" customWidth="1"/>
    <col min="4" max="6" width="8.85546875" style="199"/>
    <col min="7" max="7" width="9.85546875" style="199" customWidth="1"/>
    <col min="8" max="8" width="11.42578125" style="199" bestFit="1" customWidth="1"/>
    <col min="9" max="9" width="10.85546875" style="199" customWidth="1"/>
    <col min="10" max="10" width="8.85546875" style="199"/>
    <col min="11" max="11" width="10.7109375" style="199" customWidth="1"/>
    <col min="12" max="12" width="10.42578125" style="199" bestFit="1" customWidth="1"/>
    <col min="13" max="13" width="13.28515625" style="199" customWidth="1"/>
    <col min="14" max="14" width="11.42578125" style="199" bestFit="1" customWidth="1"/>
    <col min="15" max="256" width="8.85546875" style="199"/>
    <col min="257" max="257" width="4.140625" style="199" customWidth="1"/>
    <col min="258" max="258" width="9.28515625" style="199" customWidth="1"/>
    <col min="259" max="259" width="39.7109375" style="199" customWidth="1"/>
    <col min="260" max="262" width="8.85546875" style="199"/>
    <col min="263" max="263" width="9.85546875" style="199" customWidth="1"/>
    <col min="264" max="264" width="11.42578125" style="199" bestFit="1" customWidth="1"/>
    <col min="265" max="265" width="10.85546875" style="199" customWidth="1"/>
    <col min="266" max="266" width="8.85546875" style="199"/>
    <col min="267" max="267" width="10.7109375" style="199" customWidth="1"/>
    <col min="268" max="268" width="10.42578125" style="199" bestFit="1" customWidth="1"/>
    <col min="269" max="269" width="10.28515625" style="199" customWidth="1"/>
    <col min="270" max="270" width="11.42578125" style="199" bestFit="1" customWidth="1"/>
    <col min="271" max="512" width="8.85546875" style="199"/>
    <col min="513" max="513" width="4.140625" style="199" customWidth="1"/>
    <col min="514" max="514" width="9.28515625" style="199" customWidth="1"/>
    <col min="515" max="515" width="39.7109375" style="199" customWidth="1"/>
    <col min="516" max="518" width="8.85546875" style="199"/>
    <col min="519" max="519" width="9.85546875" style="199" customWidth="1"/>
    <col min="520" max="520" width="11.42578125" style="199" bestFit="1" customWidth="1"/>
    <col min="521" max="521" width="10.85546875" style="199" customWidth="1"/>
    <col min="522" max="522" width="8.85546875" style="199"/>
    <col min="523" max="523" width="10.7109375" style="199" customWidth="1"/>
    <col min="524" max="524" width="10.42578125" style="199" bestFit="1" customWidth="1"/>
    <col min="525" max="525" width="10.28515625" style="199" customWidth="1"/>
    <col min="526" max="526" width="11.42578125" style="199" bestFit="1" customWidth="1"/>
    <col min="527" max="768" width="8.85546875" style="199"/>
    <col min="769" max="769" width="4.140625" style="199" customWidth="1"/>
    <col min="770" max="770" width="9.28515625" style="199" customWidth="1"/>
    <col min="771" max="771" width="39.7109375" style="199" customWidth="1"/>
    <col min="772" max="774" width="8.85546875" style="199"/>
    <col min="775" max="775" width="9.85546875" style="199" customWidth="1"/>
    <col min="776" max="776" width="11.42578125" style="199" bestFit="1" customWidth="1"/>
    <col min="777" max="777" width="10.85546875" style="199" customWidth="1"/>
    <col min="778" max="778" width="8.85546875" style="199"/>
    <col min="779" max="779" width="10.7109375" style="199" customWidth="1"/>
    <col min="780" max="780" width="10.42578125" style="199" bestFit="1" customWidth="1"/>
    <col min="781" max="781" width="10.28515625" style="199" customWidth="1"/>
    <col min="782" max="782" width="11.42578125" style="199" bestFit="1" customWidth="1"/>
    <col min="783" max="1024" width="8.85546875" style="199"/>
    <col min="1025" max="1025" width="4.140625" style="199" customWidth="1"/>
    <col min="1026" max="1026" width="9.28515625" style="199" customWidth="1"/>
    <col min="1027" max="1027" width="39.7109375" style="199" customWidth="1"/>
    <col min="1028" max="1030" width="8.85546875" style="199"/>
    <col min="1031" max="1031" width="9.85546875" style="199" customWidth="1"/>
    <col min="1032" max="1032" width="11.42578125" style="199" bestFit="1" customWidth="1"/>
    <col min="1033" max="1033" width="10.85546875" style="199" customWidth="1"/>
    <col min="1034" max="1034" width="8.85546875" style="199"/>
    <col min="1035" max="1035" width="10.7109375" style="199" customWidth="1"/>
    <col min="1036" max="1036" width="10.42578125" style="199" bestFit="1" customWidth="1"/>
    <col min="1037" max="1037" width="10.28515625" style="199" customWidth="1"/>
    <col min="1038" max="1038" width="11.42578125" style="199" bestFit="1" customWidth="1"/>
    <col min="1039" max="1280" width="8.85546875" style="199"/>
    <col min="1281" max="1281" width="4.140625" style="199" customWidth="1"/>
    <col min="1282" max="1282" width="9.28515625" style="199" customWidth="1"/>
    <col min="1283" max="1283" width="39.7109375" style="199" customWidth="1"/>
    <col min="1284" max="1286" width="8.85546875" style="199"/>
    <col min="1287" max="1287" width="9.85546875" style="199" customWidth="1"/>
    <col min="1288" max="1288" width="11.42578125" style="199" bestFit="1" customWidth="1"/>
    <col min="1289" max="1289" width="10.85546875" style="199" customWidth="1"/>
    <col min="1290" max="1290" width="8.85546875" style="199"/>
    <col min="1291" max="1291" width="10.7109375" style="199" customWidth="1"/>
    <col min="1292" max="1292" width="10.42578125" style="199" bestFit="1" customWidth="1"/>
    <col min="1293" max="1293" width="10.28515625" style="199" customWidth="1"/>
    <col min="1294" max="1294" width="11.42578125" style="199" bestFit="1" customWidth="1"/>
    <col min="1295" max="1536" width="8.85546875" style="199"/>
    <col min="1537" max="1537" width="4.140625" style="199" customWidth="1"/>
    <col min="1538" max="1538" width="9.28515625" style="199" customWidth="1"/>
    <col min="1539" max="1539" width="39.7109375" style="199" customWidth="1"/>
    <col min="1540" max="1542" width="8.85546875" style="199"/>
    <col min="1543" max="1543" width="9.85546875" style="199" customWidth="1"/>
    <col min="1544" max="1544" width="11.42578125" style="199" bestFit="1" customWidth="1"/>
    <col min="1545" max="1545" width="10.85546875" style="199" customWidth="1"/>
    <col min="1546" max="1546" width="8.85546875" style="199"/>
    <col min="1547" max="1547" width="10.7109375" style="199" customWidth="1"/>
    <col min="1548" max="1548" width="10.42578125" style="199" bestFit="1" customWidth="1"/>
    <col min="1549" max="1549" width="10.28515625" style="199" customWidth="1"/>
    <col min="1550" max="1550" width="11.42578125" style="199" bestFit="1" customWidth="1"/>
    <col min="1551" max="1792" width="8.85546875" style="199"/>
    <col min="1793" max="1793" width="4.140625" style="199" customWidth="1"/>
    <col min="1794" max="1794" width="9.28515625" style="199" customWidth="1"/>
    <col min="1795" max="1795" width="39.7109375" style="199" customWidth="1"/>
    <col min="1796" max="1798" width="8.85546875" style="199"/>
    <col min="1799" max="1799" width="9.85546875" style="199" customWidth="1"/>
    <col min="1800" max="1800" width="11.42578125" style="199" bestFit="1" customWidth="1"/>
    <col min="1801" max="1801" width="10.85546875" style="199" customWidth="1"/>
    <col min="1802" max="1802" width="8.85546875" style="199"/>
    <col min="1803" max="1803" width="10.7109375" style="199" customWidth="1"/>
    <col min="1804" max="1804" width="10.42578125" style="199" bestFit="1" customWidth="1"/>
    <col min="1805" max="1805" width="10.28515625" style="199" customWidth="1"/>
    <col min="1806" max="1806" width="11.42578125" style="199" bestFit="1" customWidth="1"/>
    <col min="1807" max="2048" width="8.85546875" style="199"/>
    <col min="2049" max="2049" width="4.140625" style="199" customWidth="1"/>
    <col min="2050" max="2050" width="9.28515625" style="199" customWidth="1"/>
    <col min="2051" max="2051" width="39.7109375" style="199" customWidth="1"/>
    <col min="2052" max="2054" width="8.85546875" style="199"/>
    <col min="2055" max="2055" width="9.85546875" style="199" customWidth="1"/>
    <col min="2056" max="2056" width="11.42578125" style="199" bestFit="1" customWidth="1"/>
    <col min="2057" max="2057" width="10.85546875" style="199" customWidth="1"/>
    <col min="2058" max="2058" width="8.85546875" style="199"/>
    <col min="2059" max="2059" width="10.7109375" style="199" customWidth="1"/>
    <col min="2060" max="2060" width="10.42578125" style="199" bestFit="1" customWidth="1"/>
    <col min="2061" max="2061" width="10.28515625" style="199" customWidth="1"/>
    <col min="2062" max="2062" width="11.42578125" style="199" bestFit="1" customWidth="1"/>
    <col min="2063" max="2304" width="8.85546875" style="199"/>
    <col min="2305" max="2305" width="4.140625" style="199" customWidth="1"/>
    <col min="2306" max="2306" width="9.28515625" style="199" customWidth="1"/>
    <col min="2307" max="2307" width="39.7109375" style="199" customWidth="1"/>
    <col min="2308" max="2310" width="8.85546875" style="199"/>
    <col min="2311" max="2311" width="9.85546875" style="199" customWidth="1"/>
    <col min="2312" max="2312" width="11.42578125" style="199" bestFit="1" customWidth="1"/>
    <col min="2313" max="2313" width="10.85546875" style="199" customWidth="1"/>
    <col min="2314" max="2314" width="8.85546875" style="199"/>
    <col min="2315" max="2315" width="10.7109375" style="199" customWidth="1"/>
    <col min="2316" max="2316" width="10.42578125" style="199" bestFit="1" customWidth="1"/>
    <col min="2317" max="2317" width="10.28515625" style="199" customWidth="1"/>
    <col min="2318" max="2318" width="11.42578125" style="199" bestFit="1" customWidth="1"/>
    <col min="2319" max="2560" width="8.85546875" style="199"/>
    <col min="2561" max="2561" width="4.140625" style="199" customWidth="1"/>
    <col min="2562" max="2562" width="9.28515625" style="199" customWidth="1"/>
    <col min="2563" max="2563" width="39.7109375" style="199" customWidth="1"/>
    <col min="2564" max="2566" width="8.85546875" style="199"/>
    <col min="2567" max="2567" width="9.85546875" style="199" customWidth="1"/>
    <col min="2568" max="2568" width="11.42578125" style="199" bestFit="1" customWidth="1"/>
    <col min="2569" max="2569" width="10.85546875" style="199" customWidth="1"/>
    <col min="2570" max="2570" width="8.85546875" style="199"/>
    <col min="2571" max="2571" width="10.7109375" style="199" customWidth="1"/>
    <col min="2572" max="2572" width="10.42578125" style="199" bestFit="1" customWidth="1"/>
    <col min="2573" max="2573" width="10.28515625" style="199" customWidth="1"/>
    <col min="2574" max="2574" width="11.42578125" style="199" bestFit="1" customWidth="1"/>
    <col min="2575" max="2816" width="8.85546875" style="199"/>
    <col min="2817" max="2817" width="4.140625" style="199" customWidth="1"/>
    <col min="2818" max="2818" width="9.28515625" style="199" customWidth="1"/>
    <col min="2819" max="2819" width="39.7109375" style="199" customWidth="1"/>
    <col min="2820" max="2822" width="8.85546875" style="199"/>
    <col min="2823" max="2823" width="9.85546875" style="199" customWidth="1"/>
    <col min="2824" max="2824" width="11.42578125" style="199" bestFit="1" customWidth="1"/>
    <col min="2825" max="2825" width="10.85546875" style="199" customWidth="1"/>
    <col min="2826" max="2826" width="8.85546875" style="199"/>
    <col min="2827" max="2827" width="10.7109375" style="199" customWidth="1"/>
    <col min="2828" max="2828" width="10.42578125" style="199" bestFit="1" customWidth="1"/>
    <col min="2829" max="2829" width="10.28515625" style="199" customWidth="1"/>
    <col min="2830" max="2830" width="11.42578125" style="199" bestFit="1" customWidth="1"/>
    <col min="2831" max="3072" width="8.85546875" style="199"/>
    <col min="3073" max="3073" width="4.140625" style="199" customWidth="1"/>
    <col min="3074" max="3074" width="9.28515625" style="199" customWidth="1"/>
    <col min="3075" max="3075" width="39.7109375" style="199" customWidth="1"/>
    <col min="3076" max="3078" width="8.85546875" style="199"/>
    <col min="3079" max="3079" width="9.85546875" style="199" customWidth="1"/>
    <col min="3080" max="3080" width="11.42578125" style="199" bestFit="1" customWidth="1"/>
    <col min="3081" max="3081" width="10.85546875" style="199" customWidth="1"/>
    <col min="3082" max="3082" width="8.85546875" style="199"/>
    <col min="3083" max="3083" width="10.7109375" style="199" customWidth="1"/>
    <col min="3084" max="3084" width="10.42578125" style="199" bestFit="1" customWidth="1"/>
    <col min="3085" max="3085" width="10.28515625" style="199" customWidth="1"/>
    <col min="3086" max="3086" width="11.42578125" style="199" bestFit="1" customWidth="1"/>
    <col min="3087" max="3328" width="8.85546875" style="199"/>
    <col min="3329" max="3329" width="4.140625" style="199" customWidth="1"/>
    <col min="3330" max="3330" width="9.28515625" style="199" customWidth="1"/>
    <col min="3331" max="3331" width="39.7109375" style="199" customWidth="1"/>
    <col min="3332" max="3334" width="8.85546875" style="199"/>
    <col min="3335" max="3335" width="9.85546875" style="199" customWidth="1"/>
    <col min="3336" max="3336" width="11.42578125" style="199" bestFit="1" customWidth="1"/>
    <col min="3337" max="3337" width="10.85546875" style="199" customWidth="1"/>
    <col min="3338" max="3338" width="8.85546875" style="199"/>
    <col min="3339" max="3339" width="10.7109375" style="199" customWidth="1"/>
    <col min="3340" max="3340" width="10.42578125" style="199" bestFit="1" customWidth="1"/>
    <col min="3341" max="3341" width="10.28515625" style="199" customWidth="1"/>
    <col min="3342" max="3342" width="11.42578125" style="199" bestFit="1" customWidth="1"/>
    <col min="3343" max="3584" width="8.85546875" style="199"/>
    <col min="3585" max="3585" width="4.140625" style="199" customWidth="1"/>
    <col min="3586" max="3586" width="9.28515625" style="199" customWidth="1"/>
    <col min="3587" max="3587" width="39.7109375" style="199" customWidth="1"/>
    <col min="3588" max="3590" width="8.85546875" style="199"/>
    <col min="3591" max="3591" width="9.85546875" style="199" customWidth="1"/>
    <col min="3592" max="3592" width="11.42578125" style="199" bestFit="1" customWidth="1"/>
    <col min="3593" max="3593" width="10.85546875" style="199" customWidth="1"/>
    <col min="3594" max="3594" width="8.85546875" style="199"/>
    <col min="3595" max="3595" width="10.7109375" style="199" customWidth="1"/>
    <col min="3596" max="3596" width="10.42578125" style="199" bestFit="1" customWidth="1"/>
    <col min="3597" max="3597" width="10.28515625" style="199" customWidth="1"/>
    <col min="3598" max="3598" width="11.42578125" style="199" bestFit="1" customWidth="1"/>
    <col min="3599" max="3840" width="8.85546875" style="199"/>
    <col min="3841" max="3841" width="4.140625" style="199" customWidth="1"/>
    <col min="3842" max="3842" width="9.28515625" style="199" customWidth="1"/>
    <col min="3843" max="3843" width="39.7109375" style="199" customWidth="1"/>
    <col min="3844" max="3846" width="8.85546875" style="199"/>
    <col min="3847" max="3847" width="9.85546875" style="199" customWidth="1"/>
    <col min="3848" max="3848" width="11.42578125" style="199" bestFit="1" customWidth="1"/>
    <col min="3849" max="3849" width="10.85546875" style="199" customWidth="1"/>
    <col min="3850" max="3850" width="8.85546875" style="199"/>
    <col min="3851" max="3851" width="10.7109375" style="199" customWidth="1"/>
    <col min="3852" max="3852" width="10.42578125" style="199" bestFit="1" customWidth="1"/>
    <col min="3853" max="3853" width="10.28515625" style="199" customWidth="1"/>
    <col min="3854" max="3854" width="11.42578125" style="199" bestFit="1" customWidth="1"/>
    <col min="3855" max="4096" width="8.85546875" style="199"/>
    <col min="4097" max="4097" width="4.140625" style="199" customWidth="1"/>
    <col min="4098" max="4098" width="9.28515625" style="199" customWidth="1"/>
    <col min="4099" max="4099" width="39.7109375" style="199" customWidth="1"/>
    <col min="4100" max="4102" width="8.85546875" style="199"/>
    <col min="4103" max="4103" width="9.85546875" style="199" customWidth="1"/>
    <col min="4104" max="4104" width="11.42578125" style="199" bestFit="1" customWidth="1"/>
    <col min="4105" max="4105" width="10.85546875" style="199" customWidth="1"/>
    <col min="4106" max="4106" width="8.85546875" style="199"/>
    <col min="4107" max="4107" width="10.7109375" style="199" customWidth="1"/>
    <col min="4108" max="4108" width="10.42578125" style="199" bestFit="1" customWidth="1"/>
    <col min="4109" max="4109" width="10.28515625" style="199" customWidth="1"/>
    <col min="4110" max="4110" width="11.42578125" style="199" bestFit="1" customWidth="1"/>
    <col min="4111" max="4352" width="8.85546875" style="199"/>
    <col min="4353" max="4353" width="4.140625" style="199" customWidth="1"/>
    <col min="4354" max="4354" width="9.28515625" style="199" customWidth="1"/>
    <col min="4355" max="4355" width="39.7109375" style="199" customWidth="1"/>
    <col min="4356" max="4358" width="8.85546875" style="199"/>
    <col min="4359" max="4359" width="9.85546875" style="199" customWidth="1"/>
    <col min="4360" max="4360" width="11.42578125" style="199" bestFit="1" customWidth="1"/>
    <col min="4361" max="4361" width="10.85546875" style="199" customWidth="1"/>
    <col min="4362" max="4362" width="8.85546875" style="199"/>
    <col min="4363" max="4363" width="10.7109375" style="199" customWidth="1"/>
    <col min="4364" max="4364" width="10.42578125" style="199" bestFit="1" customWidth="1"/>
    <col min="4365" max="4365" width="10.28515625" style="199" customWidth="1"/>
    <col min="4366" max="4366" width="11.42578125" style="199" bestFit="1" customWidth="1"/>
    <col min="4367" max="4608" width="8.85546875" style="199"/>
    <col min="4609" max="4609" width="4.140625" style="199" customWidth="1"/>
    <col min="4610" max="4610" width="9.28515625" style="199" customWidth="1"/>
    <col min="4611" max="4611" width="39.7109375" style="199" customWidth="1"/>
    <col min="4612" max="4614" width="8.85546875" style="199"/>
    <col min="4615" max="4615" width="9.85546875" style="199" customWidth="1"/>
    <col min="4616" max="4616" width="11.42578125" style="199" bestFit="1" customWidth="1"/>
    <col min="4617" max="4617" width="10.85546875" style="199" customWidth="1"/>
    <col min="4618" max="4618" width="8.85546875" style="199"/>
    <col min="4619" max="4619" width="10.7109375" style="199" customWidth="1"/>
    <col min="4620" max="4620" width="10.42578125" style="199" bestFit="1" customWidth="1"/>
    <col min="4621" max="4621" width="10.28515625" style="199" customWidth="1"/>
    <col min="4622" max="4622" width="11.42578125" style="199" bestFit="1" customWidth="1"/>
    <col min="4623" max="4864" width="8.85546875" style="199"/>
    <col min="4865" max="4865" width="4.140625" style="199" customWidth="1"/>
    <col min="4866" max="4866" width="9.28515625" style="199" customWidth="1"/>
    <col min="4867" max="4867" width="39.7109375" style="199" customWidth="1"/>
    <col min="4868" max="4870" width="8.85546875" style="199"/>
    <col min="4871" max="4871" width="9.85546875" style="199" customWidth="1"/>
    <col min="4872" max="4872" width="11.42578125" style="199" bestFit="1" customWidth="1"/>
    <col min="4873" max="4873" width="10.85546875" style="199" customWidth="1"/>
    <col min="4874" max="4874" width="8.85546875" style="199"/>
    <col min="4875" max="4875" width="10.7109375" style="199" customWidth="1"/>
    <col min="4876" max="4876" width="10.42578125" style="199" bestFit="1" customWidth="1"/>
    <col min="4877" max="4877" width="10.28515625" style="199" customWidth="1"/>
    <col min="4878" max="4878" width="11.42578125" style="199" bestFit="1" customWidth="1"/>
    <col min="4879" max="5120" width="8.85546875" style="199"/>
    <col min="5121" max="5121" width="4.140625" style="199" customWidth="1"/>
    <col min="5122" max="5122" width="9.28515625" style="199" customWidth="1"/>
    <col min="5123" max="5123" width="39.7109375" style="199" customWidth="1"/>
    <col min="5124" max="5126" width="8.85546875" style="199"/>
    <col min="5127" max="5127" width="9.85546875" style="199" customWidth="1"/>
    <col min="5128" max="5128" width="11.42578125" style="199" bestFit="1" customWidth="1"/>
    <col min="5129" max="5129" width="10.85546875" style="199" customWidth="1"/>
    <col min="5130" max="5130" width="8.85546875" style="199"/>
    <col min="5131" max="5131" width="10.7109375" style="199" customWidth="1"/>
    <col min="5132" max="5132" width="10.42578125" style="199" bestFit="1" customWidth="1"/>
    <col min="5133" max="5133" width="10.28515625" style="199" customWidth="1"/>
    <col min="5134" max="5134" width="11.42578125" style="199" bestFit="1" customWidth="1"/>
    <col min="5135" max="5376" width="8.85546875" style="199"/>
    <col min="5377" max="5377" width="4.140625" style="199" customWidth="1"/>
    <col min="5378" max="5378" width="9.28515625" style="199" customWidth="1"/>
    <col min="5379" max="5379" width="39.7109375" style="199" customWidth="1"/>
    <col min="5380" max="5382" width="8.85546875" style="199"/>
    <col min="5383" max="5383" width="9.85546875" style="199" customWidth="1"/>
    <col min="5384" max="5384" width="11.42578125" style="199" bestFit="1" customWidth="1"/>
    <col min="5385" max="5385" width="10.85546875" style="199" customWidth="1"/>
    <col min="5386" max="5386" width="8.85546875" style="199"/>
    <col min="5387" max="5387" width="10.7109375" style="199" customWidth="1"/>
    <col min="5388" max="5388" width="10.42578125" style="199" bestFit="1" customWidth="1"/>
    <col min="5389" max="5389" width="10.28515625" style="199" customWidth="1"/>
    <col min="5390" max="5390" width="11.42578125" style="199" bestFit="1" customWidth="1"/>
    <col min="5391" max="5632" width="8.85546875" style="199"/>
    <col min="5633" max="5633" width="4.140625" style="199" customWidth="1"/>
    <col min="5634" max="5634" width="9.28515625" style="199" customWidth="1"/>
    <col min="5635" max="5635" width="39.7109375" style="199" customWidth="1"/>
    <col min="5636" max="5638" width="8.85546875" style="199"/>
    <col min="5639" max="5639" width="9.85546875" style="199" customWidth="1"/>
    <col min="5640" max="5640" width="11.42578125" style="199" bestFit="1" customWidth="1"/>
    <col min="5641" max="5641" width="10.85546875" style="199" customWidth="1"/>
    <col min="5642" max="5642" width="8.85546875" style="199"/>
    <col min="5643" max="5643" width="10.7109375" style="199" customWidth="1"/>
    <col min="5644" max="5644" width="10.42578125" style="199" bestFit="1" customWidth="1"/>
    <col min="5645" max="5645" width="10.28515625" style="199" customWidth="1"/>
    <col min="5646" max="5646" width="11.42578125" style="199" bestFit="1" customWidth="1"/>
    <col min="5647" max="5888" width="8.85546875" style="199"/>
    <col min="5889" max="5889" width="4.140625" style="199" customWidth="1"/>
    <col min="5890" max="5890" width="9.28515625" style="199" customWidth="1"/>
    <col min="5891" max="5891" width="39.7109375" style="199" customWidth="1"/>
    <col min="5892" max="5894" width="8.85546875" style="199"/>
    <col min="5895" max="5895" width="9.85546875" style="199" customWidth="1"/>
    <col min="5896" max="5896" width="11.42578125" style="199" bestFit="1" customWidth="1"/>
    <col min="5897" max="5897" width="10.85546875" style="199" customWidth="1"/>
    <col min="5898" max="5898" width="8.85546875" style="199"/>
    <col min="5899" max="5899" width="10.7109375" style="199" customWidth="1"/>
    <col min="5900" max="5900" width="10.42578125" style="199" bestFit="1" customWidth="1"/>
    <col min="5901" max="5901" width="10.28515625" style="199" customWidth="1"/>
    <col min="5902" max="5902" width="11.42578125" style="199" bestFit="1" customWidth="1"/>
    <col min="5903" max="6144" width="8.85546875" style="199"/>
    <col min="6145" max="6145" width="4.140625" style="199" customWidth="1"/>
    <col min="6146" max="6146" width="9.28515625" style="199" customWidth="1"/>
    <col min="6147" max="6147" width="39.7109375" style="199" customWidth="1"/>
    <col min="6148" max="6150" width="8.85546875" style="199"/>
    <col min="6151" max="6151" width="9.85546875" style="199" customWidth="1"/>
    <col min="6152" max="6152" width="11.42578125" style="199" bestFit="1" customWidth="1"/>
    <col min="6153" max="6153" width="10.85546875" style="199" customWidth="1"/>
    <col min="6154" max="6154" width="8.85546875" style="199"/>
    <col min="6155" max="6155" width="10.7109375" style="199" customWidth="1"/>
    <col min="6156" max="6156" width="10.42578125" style="199" bestFit="1" customWidth="1"/>
    <col min="6157" max="6157" width="10.28515625" style="199" customWidth="1"/>
    <col min="6158" max="6158" width="11.42578125" style="199" bestFit="1" customWidth="1"/>
    <col min="6159" max="6400" width="8.85546875" style="199"/>
    <col min="6401" max="6401" width="4.140625" style="199" customWidth="1"/>
    <col min="6402" max="6402" width="9.28515625" style="199" customWidth="1"/>
    <col min="6403" max="6403" width="39.7109375" style="199" customWidth="1"/>
    <col min="6404" max="6406" width="8.85546875" style="199"/>
    <col min="6407" max="6407" width="9.85546875" style="199" customWidth="1"/>
    <col min="6408" max="6408" width="11.42578125" style="199" bestFit="1" customWidth="1"/>
    <col min="6409" max="6409" width="10.85546875" style="199" customWidth="1"/>
    <col min="6410" max="6410" width="8.85546875" style="199"/>
    <col min="6411" max="6411" width="10.7109375" style="199" customWidth="1"/>
    <col min="6412" max="6412" width="10.42578125" style="199" bestFit="1" customWidth="1"/>
    <col min="6413" max="6413" width="10.28515625" style="199" customWidth="1"/>
    <col min="6414" max="6414" width="11.42578125" style="199" bestFit="1" customWidth="1"/>
    <col min="6415" max="6656" width="8.85546875" style="199"/>
    <col min="6657" max="6657" width="4.140625" style="199" customWidth="1"/>
    <col min="6658" max="6658" width="9.28515625" style="199" customWidth="1"/>
    <col min="6659" max="6659" width="39.7109375" style="199" customWidth="1"/>
    <col min="6660" max="6662" width="8.85546875" style="199"/>
    <col min="6663" max="6663" width="9.85546875" style="199" customWidth="1"/>
    <col min="6664" max="6664" width="11.42578125" style="199" bestFit="1" customWidth="1"/>
    <col min="6665" max="6665" width="10.85546875" style="199" customWidth="1"/>
    <col min="6666" max="6666" width="8.85546875" style="199"/>
    <col min="6667" max="6667" width="10.7109375" style="199" customWidth="1"/>
    <col min="6668" max="6668" width="10.42578125" style="199" bestFit="1" customWidth="1"/>
    <col min="6669" max="6669" width="10.28515625" style="199" customWidth="1"/>
    <col min="6670" max="6670" width="11.42578125" style="199" bestFit="1" customWidth="1"/>
    <col min="6671" max="6912" width="8.85546875" style="199"/>
    <col min="6913" max="6913" width="4.140625" style="199" customWidth="1"/>
    <col min="6914" max="6914" width="9.28515625" style="199" customWidth="1"/>
    <col min="6915" max="6915" width="39.7109375" style="199" customWidth="1"/>
    <col min="6916" max="6918" width="8.85546875" style="199"/>
    <col min="6919" max="6919" width="9.85546875" style="199" customWidth="1"/>
    <col min="6920" max="6920" width="11.42578125" style="199" bestFit="1" customWidth="1"/>
    <col min="6921" max="6921" width="10.85546875" style="199" customWidth="1"/>
    <col min="6922" max="6922" width="8.85546875" style="199"/>
    <col min="6923" max="6923" width="10.7109375" style="199" customWidth="1"/>
    <col min="6924" max="6924" width="10.42578125" style="199" bestFit="1" customWidth="1"/>
    <col min="6925" max="6925" width="10.28515625" style="199" customWidth="1"/>
    <col min="6926" max="6926" width="11.42578125" style="199" bestFit="1" customWidth="1"/>
    <col min="6927" max="7168" width="8.85546875" style="199"/>
    <col min="7169" max="7169" width="4.140625" style="199" customWidth="1"/>
    <col min="7170" max="7170" width="9.28515625" style="199" customWidth="1"/>
    <col min="7171" max="7171" width="39.7109375" style="199" customWidth="1"/>
    <col min="7172" max="7174" width="8.85546875" style="199"/>
    <col min="7175" max="7175" width="9.85546875" style="199" customWidth="1"/>
    <col min="7176" max="7176" width="11.42578125" style="199" bestFit="1" customWidth="1"/>
    <col min="7177" max="7177" width="10.85546875" style="199" customWidth="1"/>
    <col min="7178" max="7178" width="8.85546875" style="199"/>
    <col min="7179" max="7179" width="10.7109375" style="199" customWidth="1"/>
    <col min="7180" max="7180" width="10.42578125" style="199" bestFit="1" customWidth="1"/>
    <col min="7181" max="7181" width="10.28515625" style="199" customWidth="1"/>
    <col min="7182" max="7182" width="11.42578125" style="199" bestFit="1" customWidth="1"/>
    <col min="7183" max="7424" width="8.85546875" style="199"/>
    <col min="7425" max="7425" width="4.140625" style="199" customWidth="1"/>
    <col min="7426" max="7426" width="9.28515625" style="199" customWidth="1"/>
    <col min="7427" max="7427" width="39.7109375" style="199" customWidth="1"/>
    <col min="7428" max="7430" width="8.85546875" style="199"/>
    <col min="7431" max="7431" width="9.85546875" style="199" customWidth="1"/>
    <col min="7432" max="7432" width="11.42578125" style="199" bestFit="1" customWidth="1"/>
    <col min="7433" max="7433" width="10.85546875" style="199" customWidth="1"/>
    <col min="7434" max="7434" width="8.85546875" style="199"/>
    <col min="7435" max="7435" width="10.7109375" style="199" customWidth="1"/>
    <col min="7436" max="7436" width="10.42578125" style="199" bestFit="1" customWidth="1"/>
    <col min="7437" max="7437" width="10.28515625" style="199" customWidth="1"/>
    <col min="7438" max="7438" width="11.42578125" style="199" bestFit="1" customWidth="1"/>
    <col min="7439" max="7680" width="8.85546875" style="199"/>
    <col min="7681" max="7681" width="4.140625" style="199" customWidth="1"/>
    <col min="7682" max="7682" width="9.28515625" style="199" customWidth="1"/>
    <col min="7683" max="7683" width="39.7109375" style="199" customWidth="1"/>
    <col min="7684" max="7686" width="8.85546875" style="199"/>
    <col min="7687" max="7687" width="9.85546875" style="199" customWidth="1"/>
    <col min="7688" max="7688" width="11.42578125" style="199" bestFit="1" customWidth="1"/>
    <col min="7689" max="7689" width="10.85546875" style="199" customWidth="1"/>
    <col min="7690" max="7690" width="8.85546875" style="199"/>
    <col min="7691" max="7691" width="10.7109375" style="199" customWidth="1"/>
    <col min="7692" max="7692" width="10.42578125" style="199" bestFit="1" customWidth="1"/>
    <col min="7693" max="7693" width="10.28515625" style="199" customWidth="1"/>
    <col min="7694" max="7694" width="11.42578125" style="199" bestFit="1" customWidth="1"/>
    <col min="7695" max="7936" width="8.85546875" style="199"/>
    <col min="7937" max="7937" width="4.140625" style="199" customWidth="1"/>
    <col min="7938" max="7938" width="9.28515625" style="199" customWidth="1"/>
    <col min="7939" max="7939" width="39.7109375" style="199" customWidth="1"/>
    <col min="7940" max="7942" width="8.85546875" style="199"/>
    <col min="7943" max="7943" width="9.85546875" style="199" customWidth="1"/>
    <col min="7944" max="7944" width="11.42578125" style="199" bestFit="1" customWidth="1"/>
    <col min="7945" max="7945" width="10.85546875" style="199" customWidth="1"/>
    <col min="7946" max="7946" width="8.85546875" style="199"/>
    <col min="7947" max="7947" width="10.7109375" style="199" customWidth="1"/>
    <col min="7948" max="7948" width="10.42578125" style="199" bestFit="1" customWidth="1"/>
    <col min="7949" max="7949" width="10.28515625" style="199" customWidth="1"/>
    <col min="7950" max="7950" width="11.42578125" style="199" bestFit="1" customWidth="1"/>
    <col min="7951" max="8192" width="8.85546875" style="199"/>
    <col min="8193" max="8193" width="4.140625" style="199" customWidth="1"/>
    <col min="8194" max="8194" width="9.28515625" style="199" customWidth="1"/>
    <col min="8195" max="8195" width="39.7109375" style="199" customWidth="1"/>
    <col min="8196" max="8198" width="8.85546875" style="199"/>
    <col min="8199" max="8199" width="9.85546875" style="199" customWidth="1"/>
    <col min="8200" max="8200" width="11.42578125" style="199" bestFit="1" customWidth="1"/>
    <col min="8201" max="8201" width="10.85546875" style="199" customWidth="1"/>
    <col min="8202" max="8202" width="8.85546875" style="199"/>
    <col min="8203" max="8203" width="10.7109375" style="199" customWidth="1"/>
    <col min="8204" max="8204" width="10.42578125" style="199" bestFit="1" customWidth="1"/>
    <col min="8205" max="8205" width="10.28515625" style="199" customWidth="1"/>
    <col min="8206" max="8206" width="11.42578125" style="199" bestFit="1" customWidth="1"/>
    <col min="8207" max="8448" width="8.85546875" style="199"/>
    <col min="8449" max="8449" width="4.140625" style="199" customWidth="1"/>
    <col min="8450" max="8450" width="9.28515625" style="199" customWidth="1"/>
    <col min="8451" max="8451" width="39.7109375" style="199" customWidth="1"/>
    <col min="8452" max="8454" width="8.85546875" style="199"/>
    <col min="8455" max="8455" width="9.85546875" style="199" customWidth="1"/>
    <col min="8456" max="8456" width="11.42578125" style="199" bestFit="1" customWidth="1"/>
    <col min="8457" max="8457" width="10.85546875" style="199" customWidth="1"/>
    <col min="8458" max="8458" width="8.85546875" style="199"/>
    <col min="8459" max="8459" width="10.7109375" style="199" customWidth="1"/>
    <col min="8460" max="8460" width="10.42578125" style="199" bestFit="1" customWidth="1"/>
    <col min="8461" max="8461" width="10.28515625" style="199" customWidth="1"/>
    <col min="8462" max="8462" width="11.42578125" style="199" bestFit="1" customWidth="1"/>
    <col min="8463" max="8704" width="8.85546875" style="199"/>
    <col min="8705" max="8705" width="4.140625" style="199" customWidth="1"/>
    <col min="8706" max="8706" width="9.28515625" style="199" customWidth="1"/>
    <col min="8707" max="8707" width="39.7109375" style="199" customWidth="1"/>
    <col min="8708" max="8710" width="8.85546875" style="199"/>
    <col min="8711" max="8711" width="9.85546875" style="199" customWidth="1"/>
    <col min="8712" max="8712" width="11.42578125" style="199" bestFit="1" customWidth="1"/>
    <col min="8713" max="8713" width="10.85546875" style="199" customWidth="1"/>
    <col min="8714" max="8714" width="8.85546875" style="199"/>
    <col min="8715" max="8715" width="10.7109375" style="199" customWidth="1"/>
    <col min="8716" max="8716" width="10.42578125" style="199" bestFit="1" customWidth="1"/>
    <col min="8717" max="8717" width="10.28515625" style="199" customWidth="1"/>
    <col min="8718" max="8718" width="11.42578125" style="199" bestFit="1" customWidth="1"/>
    <col min="8719" max="8960" width="8.85546875" style="199"/>
    <col min="8961" max="8961" width="4.140625" style="199" customWidth="1"/>
    <col min="8962" max="8962" width="9.28515625" style="199" customWidth="1"/>
    <col min="8963" max="8963" width="39.7109375" style="199" customWidth="1"/>
    <col min="8964" max="8966" width="8.85546875" style="199"/>
    <col min="8967" max="8967" width="9.85546875" style="199" customWidth="1"/>
    <col min="8968" max="8968" width="11.42578125" style="199" bestFit="1" customWidth="1"/>
    <col min="8969" max="8969" width="10.85546875" style="199" customWidth="1"/>
    <col min="8970" max="8970" width="8.85546875" style="199"/>
    <col min="8971" max="8971" width="10.7109375" style="199" customWidth="1"/>
    <col min="8972" max="8972" width="10.42578125" style="199" bestFit="1" customWidth="1"/>
    <col min="8973" max="8973" width="10.28515625" style="199" customWidth="1"/>
    <col min="8974" max="8974" width="11.42578125" style="199" bestFit="1" customWidth="1"/>
    <col min="8975" max="9216" width="8.85546875" style="199"/>
    <col min="9217" max="9217" width="4.140625" style="199" customWidth="1"/>
    <col min="9218" max="9218" width="9.28515625" style="199" customWidth="1"/>
    <col min="9219" max="9219" width="39.7109375" style="199" customWidth="1"/>
    <col min="9220" max="9222" width="8.85546875" style="199"/>
    <col min="9223" max="9223" width="9.85546875" style="199" customWidth="1"/>
    <col min="9224" max="9224" width="11.42578125" style="199" bestFit="1" customWidth="1"/>
    <col min="9225" max="9225" width="10.85546875" style="199" customWidth="1"/>
    <col min="9226" max="9226" width="8.85546875" style="199"/>
    <col min="9227" max="9227" width="10.7109375" style="199" customWidth="1"/>
    <col min="9228" max="9228" width="10.42578125" style="199" bestFit="1" customWidth="1"/>
    <col min="9229" max="9229" width="10.28515625" style="199" customWidth="1"/>
    <col min="9230" max="9230" width="11.42578125" style="199" bestFit="1" customWidth="1"/>
    <col min="9231" max="9472" width="8.85546875" style="199"/>
    <col min="9473" max="9473" width="4.140625" style="199" customWidth="1"/>
    <col min="9474" max="9474" width="9.28515625" style="199" customWidth="1"/>
    <col min="9475" max="9475" width="39.7109375" style="199" customWidth="1"/>
    <col min="9476" max="9478" width="8.85546875" style="199"/>
    <col min="9479" max="9479" width="9.85546875" style="199" customWidth="1"/>
    <col min="9480" max="9480" width="11.42578125" style="199" bestFit="1" customWidth="1"/>
    <col min="9481" max="9481" width="10.85546875" style="199" customWidth="1"/>
    <col min="9482" max="9482" width="8.85546875" style="199"/>
    <col min="9483" max="9483" width="10.7109375" style="199" customWidth="1"/>
    <col min="9484" max="9484" width="10.42578125" style="199" bestFit="1" customWidth="1"/>
    <col min="9485" max="9485" width="10.28515625" style="199" customWidth="1"/>
    <col min="9486" max="9486" width="11.42578125" style="199" bestFit="1" customWidth="1"/>
    <col min="9487" max="9728" width="8.85546875" style="199"/>
    <col min="9729" max="9729" width="4.140625" style="199" customWidth="1"/>
    <col min="9730" max="9730" width="9.28515625" style="199" customWidth="1"/>
    <col min="9731" max="9731" width="39.7109375" style="199" customWidth="1"/>
    <col min="9732" max="9734" width="8.85546875" style="199"/>
    <col min="9735" max="9735" width="9.85546875" style="199" customWidth="1"/>
    <col min="9736" max="9736" width="11.42578125" style="199" bestFit="1" customWidth="1"/>
    <col min="9737" max="9737" width="10.85546875" style="199" customWidth="1"/>
    <col min="9738" max="9738" width="8.85546875" style="199"/>
    <col min="9739" max="9739" width="10.7109375" style="199" customWidth="1"/>
    <col min="9740" max="9740" width="10.42578125" style="199" bestFit="1" customWidth="1"/>
    <col min="9741" max="9741" width="10.28515625" style="199" customWidth="1"/>
    <col min="9742" max="9742" width="11.42578125" style="199" bestFit="1" customWidth="1"/>
    <col min="9743" max="9984" width="8.85546875" style="199"/>
    <col min="9985" max="9985" width="4.140625" style="199" customWidth="1"/>
    <col min="9986" max="9986" width="9.28515625" style="199" customWidth="1"/>
    <col min="9987" max="9987" width="39.7109375" style="199" customWidth="1"/>
    <col min="9988" max="9990" width="8.85546875" style="199"/>
    <col min="9991" max="9991" width="9.85546875" style="199" customWidth="1"/>
    <col min="9992" max="9992" width="11.42578125" style="199" bestFit="1" customWidth="1"/>
    <col min="9993" max="9993" width="10.85546875" style="199" customWidth="1"/>
    <col min="9994" max="9994" width="8.85546875" style="199"/>
    <col min="9995" max="9995" width="10.7109375" style="199" customWidth="1"/>
    <col min="9996" max="9996" width="10.42578125" style="199" bestFit="1" customWidth="1"/>
    <col min="9997" max="9997" width="10.28515625" style="199" customWidth="1"/>
    <col min="9998" max="9998" width="11.42578125" style="199" bestFit="1" customWidth="1"/>
    <col min="9999" max="10240" width="8.85546875" style="199"/>
    <col min="10241" max="10241" width="4.140625" style="199" customWidth="1"/>
    <col min="10242" max="10242" width="9.28515625" style="199" customWidth="1"/>
    <col min="10243" max="10243" width="39.7109375" style="199" customWidth="1"/>
    <col min="10244" max="10246" width="8.85546875" style="199"/>
    <col min="10247" max="10247" width="9.85546875" style="199" customWidth="1"/>
    <col min="10248" max="10248" width="11.42578125" style="199" bestFit="1" customWidth="1"/>
    <col min="10249" max="10249" width="10.85546875" style="199" customWidth="1"/>
    <col min="10250" max="10250" width="8.85546875" style="199"/>
    <col min="10251" max="10251" width="10.7109375" style="199" customWidth="1"/>
    <col min="10252" max="10252" width="10.42578125" style="199" bestFit="1" customWidth="1"/>
    <col min="10253" max="10253" width="10.28515625" style="199" customWidth="1"/>
    <col min="10254" max="10254" width="11.42578125" style="199" bestFit="1" customWidth="1"/>
    <col min="10255" max="10496" width="8.85546875" style="199"/>
    <col min="10497" max="10497" width="4.140625" style="199" customWidth="1"/>
    <col min="10498" max="10498" width="9.28515625" style="199" customWidth="1"/>
    <col min="10499" max="10499" width="39.7109375" style="199" customWidth="1"/>
    <col min="10500" max="10502" width="8.85546875" style="199"/>
    <col min="10503" max="10503" width="9.85546875" style="199" customWidth="1"/>
    <col min="10504" max="10504" width="11.42578125" style="199" bestFit="1" customWidth="1"/>
    <col min="10505" max="10505" width="10.85546875" style="199" customWidth="1"/>
    <col min="10506" max="10506" width="8.85546875" style="199"/>
    <col min="10507" max="10507" width="10.7109375" style="199" customWidth="1"/>
    <col min="10508" max="10508" width="10.42578125" style="199" bestFit="1" customWidth="1"/>
    <col min="10509" max="10509" width="10.28515625" style="199" customWidth="1"/>
    <col min="10510" max="10510" width="11.42578125" style="199" bestFit="1" customWidth="1"/>
    <col min="10511" max="10752" width="8.85546875" style="199"/>
    <col min="10753" max="10753" width="4.140625" style="199" customWidth="1"/>
    <col min="10754" max="10754" width="9.28515625" style="199" customWidth="1"/>
    <col min="10755" max="10755" width="39.7109375" style="199" customWidth="1"/>
    <col min="10756" max="10758" width="8.85546875" style="199"/>
    <col min="10759" max="10759" width="9.85546875" style="199" customWidth="1"/>
    <col min="10760" max="10760" width="11.42578125" style="199" bestFit="1" customWidth="1"/>
    <col min="10761" max="10761" width="10.85546875" style="199" customWidth="1"/>
    <col min="10762" max="10762" width="8.85546875" style="199"/>
    <col min="10763" max="10763" width="10.7109375" style="199" customWidth="1"/>
    <col min="10764" max="10764" width="10.42578125" style="199" bestFit="1" customWidth="1"/>
    <col min="10765" max="10765" width="10.28515625" style="199" customWidth="1"/>
    <col min="10766" max="10766" width="11.42578125" style="199" bestFit="1" customWidth="1"/>
    <col min="10767" max="11008" width="8.85546875" style="199"/>
    <col min="11009" max="11009" width="4.140625" style="199" customWidth="1"/>
    <col min="11010" max="11010" width="9.28515625" style="199" customWidth="1"/>
    <col min="11011" max="11011" width="39.7109375" style="199" customWidth="1"/>
    <col min="11012" max="11014" width="8.85546875" style="199"/>
    <col min="11015" max="11015" width="9.85546875" style="199" customWidth="1"/>
    <col min="11016" max="11016" width="11.42578125" style="199" bestFit="1" customWidth="1"/>
    <col min="11017" max="11017" width="10.85546875" style="199" customWidth="1"/>
    <col min="11018" max="11018" width="8.85546875" style="199"/>
    <col min="11019" max="11019" width="10.7109375" style="199" customWidth="1"/>
    <col min="11020" max="11020" width="10.42578125" style="199" bestFit="1" customWidth="1"/>
    <col min="11021" max="11021" width="10.28515625" style="199" customWidth="1"/>
    <col min="11022" max="11022" width="11.42578125" style="199" bestFit="1" customWidth="1"/>
    <col min="11023" max="11264" width="8.85546875" style="199"/>
    <col min="11265" max="11265" width="4.140625" style="199" customWidth="1"/>
    <col min="11266" max="11266" width="9.28515625" style="199" customWidth="1"/>
    <col min="11267" max="11267" width="39.7109375" style="199" customWidth="1"/>
    <col min="11268" max="11270" width="8.85546875" style="199"/>
    <col min="11271" max="11271" width="9.85546875" style="199" customWidth="1"/>
    <col min="11272" max="11272" width="11.42578125" style="199" bestFit="1" customWidth="1"/>
    <col min="11273" max="11273" width="10.85546875" style="199" customWidth="1"/>
    <col min="11274" max="11274" width="8.85546875" style="199"/>
    <col min="11275" max="11275" width="10.7109375" style="199" customWidth="1"/>
    <col min="11276" max="11276" width="10.42578125" style="199" bestFit="1" customWidth="1"/>
    <col min="11277" max="11277" width="10.28515625" style="199" customWidth="1"/>
    <col min="11278" max="11278" width="11.42578125" style="199" bestFit="1" customWidth="1"/>
    <col min="11279" max="11520" width="8.85546875" style="199"/>
    <col min="11521" max="11521" width="4.140625" style="199" customWidth="1"/>
    <col min="11522" max="11522" width="9.28515625" style="199" customWidth="1"/>
    <col min="11523" max="11523" width="39.7109375" style="199" customWidth="1"/>
    <col min="11524" max="11526" width="8.85546875" style="199"/>
    <col min="11527" max="11527" width="9.85546875" style="199" customWidth="1"/>
    <col min="11528" max="11528" width="11.42578125" style="199" bestFit="1" customWidth="1"/>
    <col min="11529" max="11529" width="10.85546875" style="199" customWidth="1"/>
    <col min="11530" max="11530" width="8.85546875" style="199"/>
    <col min="11531" max="11531" width="10.7109375" style="199" customWidth="1"/>
    <col min="11532" max="11532" width="10.42578125" style="199" bestFit="1" customWidth="1"/>
    <col min="11533" max="11533" width="10.28515625" style="199" customWidth="1"/>
    <col min="11534" max="11534" width="11.42578125" style="199" bestFit="1" customWidth="1"/>
    <col min="11535" max="11776" width="8.85546875" style="199"/>
    <col min="11777" max="11777" width="4.140625" style="199" customWidth="1"/>
    <col min="11778" max="11778" width="9.28515625" style="199" customWidth="1"/>
    <col min="11779" max="11779" width="39.7109375" style="199" customWidth="1"/>
    <col min="11780" max="11782" width="8.85546875" style="199"/>
    <col min="11783" max="11783" width="9.85546875" style="199" customWidth="1"/>
    <col min="11784" max="11784" width="11.42578125" style="199" bestFit="1" customWidth="1"/>
    <col min="11785" max="11785" width="10.85546875" style="199" customWidth="1"/>
    <col min="11786" max="11786" width="8.85546875" style="199"/>
    <col min="11787" max="11787" width="10.7109375" style="199" customWidth="1"/>
    <col min="11788" max="11788" width="10.42578125" style="199" bestFit="1" customWidth="1"/>
    <col min="11789" max="11789" width="10.28515625" style="199" customWidth="1"/>
    <col min="11790" max="11790" width="11.42578125" style="199" bestFit="1" customWidth="1"/>
    <col min="11791" max="12032" width="8.85546875" style="199"/>
    <col min="12033" max="12033" width="4.140625" style="199" customWidth="1"/>
    <col min="12034" max="12034" width="9.28515625" style="199" customWidth="1"/>
    <col min="12035" max="12035" width="39.7109375" style="199" customWidth="1"/>
    <col min="12036" max="12038" width="8.85546875" style="199"/>
    <col min="12039" max="12039" width="9.85546875" style="199" customWidth="1"/>
    <col min="12040" max="12040" width="11.42578125" style="199" bestFit="1" customWidth="1"/>
    <col min="12041" max="12041" width="10.85546875" style="199" customWidth="1"/>
    <col min="12042" max="12042" width="8.85546875" style="199"/>
    <col min="12043" max="12043" width="10.7109375" style="199" customWidth="1"/>
    <col min="12044" max="12044" width="10.42578125" style="199" bestFit="1" customWidth="1"/>
    <col min="12045" max="12045" width="10.28515625" style="199" customWidth="1"/>
    <col min="12046" max="12046" width="11.42578125" style="199" bestFit="1" customWidth="1"/>
    <col min="12047" max="12288" width="8.85546875" style="199"/>
    <col min="12289" max="12289" width="4.140625" style="199" customWidth="1"/>
    <col min="12290" max="12290" width="9.28515625" style="199" customWidth="1"/>
    <col min="12291" max="12291" width="39.7109375" style="199" customWidth="1"/>
    <col min="12292" max="12294" width="8.85546875" style="199"/>
    <col min="12295" max="12295" width="9.85546875" style="199" customWidth="1"/>
    <col min="12296" max="12296" width="11.42578125" style="199" bestFit="1" customWidth="1"/>
    <col min="12297" max="12297" width="10.85546875" style="199" customWidth="1"/>
    <col min="12298" max="12298" width="8.85546875" style="199"/>
    <col min="12299" max="12299" width="10.7109375" style="199" customWidth="1"/>
    <col min="12300" max="12300" width="10.42578125" style="199" bestFit="1" customWidth="1"/>
    <col min="12301" max="12301" width="10.28515625" style="199" customWidth="1"/>
    <col min="12302" max="12302" width="11.42578125" style="199" bestFit="1" customWidth="1"/>
    <col min="12303" max="12544" width="8.85546875" style="199"/>
    <col min="12545" max="12545" width="4.140625" style="199" customWidth="1"/>
    <col min="12546" max="12546" width="9.28515625" style="199" customWidth="1"/>
    <col min="12547" max="12547" width="39.7109375" style="199" customWidth="1"/>
    <col min="12548" max="12550" width="8.85546875" style="199"/>
    <col min="12551" max="12551" width="9.85546875" style="199" customWidth="1"/>
    <col min="12552" max="12552" width="11.42578125" style="199" bestFit="1" customWidth="1"/>
    <col min="12553" max="12553" width="10.85546875" style="199" customWidth="1"/>
    <col min="12554" max="12554" width="8.85546875" style="199"/>
    <col min="12555" max="12555" width="10.7109375" style="199" customWidth="1"/>
    <col min="12556" max="12556" width="10.42578125" style="199" bestFit="1" customWidth="1"/>
    <col min="12557" max="12557" width="10.28515625" style="199" customWidth="1"/>
    <col min="12558" max="12558" width="11.42578125" style="199" bestFit="1" customWidth="1"/>
    <col min="12559" max="12800" width="8.85546875" style="199"/>
    <col min="12801" max="12801" width="4.140625" style="199" customWidth="1"/>
    <col min="12802" max="12802" width="9.28515625" style="199" customWidth="1"/>
    <col min="12803" max="12803" width="39.7109375" style="199" customWidth="1"/>
    <col min="12804" max="12806" width="8.85546875" style="199"/>
    <col min="12807" max="12807" width="9.85546875" style="199" customWidth="1"/>
    <col min="12808" max="12808" width="11.42578125" style="199" bestFit="1" customWidth="1"/>
    <col min="12809" max="12809" width="10.85546875" style="199" customWidth="1"/>
    <col min="12810" max="12810" width="8.85546875" style="199"/>
    <col min="12811" max="12811" width="10.7109375" style="199" customWidth="1"/>
    <col min="12812" max="12812" width="10.42578125" style="199" bestFit="1" customWidth="1"/>
    <col min="12813" max="12813" width="10.28515625" style="199" customWidth="1"/>
    <col min="12814" max="12814" width="11.42578125" style="199" bestFit="1" customWidth="1"/>
    <col min="12815" max="13056" width="8.85546875" style="199"/>
    <col min="13057" max="13057" width="4.140625" style="199" customWidth="1"/>
    <col min="13058" max="13058" width="9.28515625" style="199" customWidth="1"/>
    <col min="13059" max="13059" width="39.7109375" style="199" customWidth="1"/>
    <col min="13060" max="13062" width="8.85546875" style="199"/>
    <col min="13063" max="13063" width="9.85546875" style="199" customWidth="1"/>
    <col min="13064" max="13064" width="11.42578125" style="199" bestFit="1" customWidth="1"/>
    <col min="13065" max="13065" width="10.85546875" style="199" customWidth="1"/>
    <col min="13066" max="13066" width="8.85546875" style="199"/>
    <col min="13067" max="13067" width="10.7109375" style="199" customWidth="1"/>
    <col min="13068" max="13068" width="10.42578125" style="199" bestFit="1" customWidth="1"/>
    <col min="13069" max="13069" width="10.28515625" style="199" customWidth="1"/>
    <col min="13070" max="13070" width="11.42578125" style="199" bestFit="1" customWidth="1"/>
    <col min="13071" max="13312" width="8.85546875" style="199"/>
    <col min="13313" max="13313" width="4.140625" style="199" customWidth="1"/>
    <col min="13314" max="13314" width="9.28515625" style="199" customWidth="1"/>
    <col min="13315" max="13315" width="39.7109375" style="199" customWidth="1"/>
    <col min="13316" max="13318" width="8.85546875" style="199"/>
    <col min="13319" max="13319" width="9.85546875" style="199" customWidth="1"/>
    <col min="13320" max="13320" width="11.42578125" style="199" bestFit="1" customWidth="1"/>
    <col min="13321" max="13321" width="10.85546875" style="199" customWidth="1"/>
    <col min="13322" max="13322" width="8.85546875" style="199"/>
    <col min="13323" max="13323" width="10.7109375" style="199" customWidth="1"/>
    <col min="13324" max="13324" width="10.42578125" style="199" bestFit="1" customWidth="1"/>
    <col min="13325" max="13325" width="10.28515625" style="199" customWidth="1"/>
    <col min="13326" max="13326" width="11.42578125" style="199" bestFit="1" customWidth="1"/>
    <col min="13327" max="13568" width="8.85546875" style="199"/>
    <col min="13569" max="13569" width="4.140625" style="199" customWidth="1"/>
    <col min="13570" max="13570" width="9.28515625" style="199" customWidth="1"/>
    <col min="13571" max="13571" width="39.7109375" style="199" customWidth="1"/>
    <col min="13572" max="13574" width="8.85546875" style="199"/>
    <col min="13575" max="13575" width="9.85546875" style="199" customWidth="1"/>
    <col min="13576" max="13576" width="11.42578125" style="199" bestFit="1" customWidth="1"/>
    <col min="13577" max="13577" width="10.85546875" style="199" customWidth="1"/>
    <col min="13578" max="13578" width="8.85546875" style="199"/>
    <col min="13579" max="13579" width="10.7109375" style="199" customWidth="1"/>
    <col min="13580" max="13580" width="10.42578125" style="199" bestFit="1" customWidth="1"/>
    <col min="13581" max="13581" width="10.28515625" style="199" customWidth="1"/>
    <col min="13582" max="13582" width="11.42578125" style="199" bestFit="1" customWidth="1"/>
    <col min="13583" max="13824" width="8.85546875" style="199"/>
    <col min="13825" max="13825" width="4.140625" style="199" customWidth="1"/>
    <col min="13826" max="13826" width="9.28515625" style="199" customWidth="1"/>
    <col min="13827" max="13827" width="39.7109375" style="199" customWidth="1"/>
    <col min="13828" max="13830" width="8.85546875" style="199"/>
    <col min="13831" max="13831" width="9.85546875" style="199" customWidth="1"/>
    <col min="13832" max="13832" width="11.42578125" style="199" bestFit="1" customWidth="1"/>
    <col min="13833" max="13833" width="10.85546875" style="199" customWidth="1"/>
    <col min="13834" max="13834" width="8.85546875" style="199"/>
    <col min="13835" max="13835" width="10.7109375" style="199" customWidth="1"/>
    <col min="13836" max="13836" width="10.42578125" style="199" bestFit="1" customWidth="1"/>
    <col min="13837" max="13837" width="10.28515625" style="199" customWidth="1"/>
    <col min="13838" max="13838" width="11.42578125" style="199" bestFit="1" customWidth="1"/>
    <col min="13839" max="14080" width="8.85546875" style="199"/>
    <col min="14081" max="14081" width="4.140625" style="199" customWidth="1"/>
    <col min="14082" max="14082" width="9.28515625" style="199" customWidth="1"/>
    <col min="14083" max="14083" width="39.7109375" style="199" customWidth="1"/>
    <col min="14084" max="14086" width="8.85546875" style="199"/>
    <col min="14087" max="14087" width="9.85546875" style="199" customWidth="1"/>
    <col min="14088" max="14088" width="11.42578125" style="199" bestFit="1" customWidth="1"/>
    <col min="14089" max="14089" width="10.85546875" style="199" customWidth="1"/>
    <col min="14090" max="14090" width="8.85546875" style="199"/>
    <col min="14091" max="14091" width="10.7109375" style="199" customWidth="1"/>
    <col min="14092" max="14092" width="10.42578125" style="199" bestFit="1" customWidth="1"/>
    <col min="14093" max="14093" width="10.28515625" style="199" customWidth="1"/>
    <col min="14094" max="14094" width="11.42578125" style="199" bestFit="1" customWidth="1"/>
    <col min="14095" max="14336" width="8.85546875" style="199"/>
    <col min="14337" max="14337" width="4.140625" style="199" customWidth="1"/>
    <col min="14338" max="14338" width="9.28515625" style="199" customWidth="1"/>
    <col min="14339" max="14339" width="39.7109375" style="199" customWidth="1"/>
    <col min="14340" max="14342" width="8.85546875" style="199"/>
    <col min="14343" max="14343" width="9.85546875" style="199" customWidth="1"/>
    <col min="14344" max="14344" width="11.42578125" style="199" bestFit="1" customWidth="1"/>
    <col min="14345" max="14345" width="10.85546875" style="199" customWidth="1"/>
    <col min="14346" max="14346" width="8.85546875" style="199"/>
    <col min="14347" max="14347" width="10.7109375" style="199" customWidth="1"/>
    <col min="14348" max="14348" width="10.42578125" style="199" bestFit="1" customWidth="1"/>
    <col min="14349" max="14349" width="10.28515625" style="199" customWidth="1"/>
    <col min="14350" max="14350" width="11.42578125" style="199" bestFit="1" customWidth="1"/>
    <col min="14351" max="14592" width="8.85546875" style="199"/>
    <col min="14593" max="14593" width="4.140625" style="199" customWidth="1"/>
    <col min="14594" max="14594" width="9.28515625" style="199" customWidth="1"/>
    <col min="14595" max="14595" width="39.7109375" style="199" customWidth="1"/>
    <col min="14596" max="14598" width="8.85546875" style="199"/>
    <col min="14599" max="14599" width="9.85546875" style="199" customWidth="1"/>
    <col min="14600" max="14600" width="11.42578125" style="199" bestFit="1" customWidth="1"/>
    <col min="14601" max="14601" width="10.85546875" style="199" customWidth="1"/>
    <col min="14602" max="14602" width="8.85546875" style="199"/>
    <col min="14603" max="14603" width="10.7109375" style="199" customWidth="1"/>
    <col min="14604" max="14604" width="10.42578125" style="199" bestFit="1" customWidth="1"/>
    <col min="14605" max="14605" width="10.28515625" style="199" customWidth="1"/>
    <col min="14606" max="14606" width="11.42578125" style="199" bestFit="1" customWidth="1"/>
    <col min="14607" max="14848" width="8.85546875" style="199"/>
    <col min="14849" max="14849" width="4.140625" style="199" customWidth="1"/>
    <col min="14850" max="14850" width="9.28515625" style="199" customWidth="1"/>
    <col min="14851" max="14851" width="39.7109375" style="199" customWidth="1"/>
    <col min="14852" max="14854" width="8.85546875" style="199"/>
    <col min="14855" max="14855" width="9.85546875" style="199" customWidth="1"/>
    <col min="14856" max="14856" width="11.42578125" style="199" bestFit="1" customWidth="1"/>
    <col min="14857" max="14857" width="10.85546875" style="199" customWidth="1"/>
    <col min="14858" max="14858" width="8.85546875" style="199"/>
    <col min="14859" max="14859" width="10.7109375" style="199" customWidth="1"/>
    <col min="14860" max="14860" width="10.42578125" style="199" bestFit="1" customWidth="1"/>
    <col min="14861" max="14861" width="10.28515625" style="199" customWidth="1"/>
    <col min="14862" max="14862" width="11.42578125" style="199" bestFit="1" customWidth="1"/>
    <col min="14863" max="15104" width="8.85546875" style="199"/>
    <col min="15105" max="15105" width="4.140625" style="199" customWidth="1"/>
    <col min="15106" max="15106" width="9.28515625" style="199" customWidth="1"/>
    <col min="15107" max="15107" width="39.7109375" style="199" customWidth="1"/>
    <col min="15108" max="15110" width="8.85546875" style="199"/>
    <col min="15111" max="15111" width="9.85546875" style="199" customWidth="1"/>
    <col min="15112" max="15112" width="11.42578125" style="199" bestFit="1" customWidth="1"/>
    <col min="15113" max="15113" width="10.85546875" style="199" customWidth="1"/>
    <col min="15114" max="15114" width="8.85546875" style="199"/>
    <col min="15115" max="15115" width="10.7109375" style="199" customWidth="1"/>
    <col min="15116" max="15116" width="10.42578125" style="199" bestFit="1" customWidth="1"/>
    <col min="15117" max="15117" width="10.28515625" style="199" customWidth="1"/>
    <col min="15118" max="15118" width="11.42578125" style="199" bestFit="1" customWidth="1"/>
    <col min="15119" max="15360" width="8.85546875" style="199"/>
    <col min="15361" max="15361" width="4.140625" style="199" customWidth="1"/>
    <col min="15362" max="15362" width="9.28515625" style="199" customWidth="1"/>
    <col min="15363" max="15363" width="39.7109375" style="199" customWidth="1"/>
    <col min="15364" max="15366" width="8.85546875" style="199"/>
    <col min="15367" max="15367" width="9.85546875" style="199" customWidth="1"/>
    <col min="15368" max="15368" width="11.42578125" style="199" bestFit="1" customWidth="1"/>
    <col min="15369" max="15369" width="10.85546875" style="199" customWidth="1"/>
    <col min="15370" max="15370" width="8.85546875" style="199"/>
    <col min="15371" max="15371" width="10.7109375" style="199" customWidth="1"/>
    <col min="15372" max="15372" width="10.42578125" style="199" bestFit="1" customWidth="1"/>
    <col min="15373" max="15373" width="10.28515625" style="199" customWidth="1"/>
    <col min="15374" max="15374" width="11.42578125" style="199" bestFit="1" customWidth="1"/>
    <col min="15375" max="15616" width="8.85546875" style="199"/>
    <col min="15617" max="15617" width="4.140625" style="199" customWidth="1"/>
    <col min="15618" max="15618" width="9.28515625" style="199" customWidth="1"/>
    <col min="15619" max="15619" width="39.7109375" style="199" customWidth="1"/>
    <col min="15620" max="15622" width="8.85546875" style="199"/>
    <col min="15623" max="15623" width="9.85546875" style="199" customWidth="1"/>
    <col min="15624" max="15624" width="11.42578125" style="199" bestFit="1" customWidth="1"/>
    <col min="15625" max="15625" width="10.85546875" style="199" customWidth="1"/>
    <col min="15626" max="15626" width="8.85546875" style="199"/>
    <col min="15627" max="15627" width="10.7109375" style="199" customWidth="1"/>
    <col min="15628" max="15628" width="10.42578125" style="199" bestFit="1" customWidth="1"/>
    <col min="15629" max="15629" width="10.28515625" style="199" customWidth="1"/>
    <col min="15630" max="15630" width="11.42578125" style="199" bestFit="1" customWidth="1"/>
    <col min="15631" max="15872" width="8.85546875" style="199"/>
    <col min="15873" max="15873" width="4.140625" style="199" customWidth="1"/>
    <col min="15874" max="15874" width="9.28515625" style="199" customWidth="1"/>
    <col min="15875" max="15875" width="39.7109375" style="199" customWidth="1"/>
    <col min="15876" max="15878" width="8.85546875" style="199"/>
    <col min="15879" max="15879" width="9.85546875" style="199" customWidth="1"/>
    <col min="15880" max="15880" width="11.42578125" style="199" bestFit="1" customWidth="1"/>
    <col min="15881" max="15881" width="10.85546875" style="199" customWidth="1"/>
    <col min="15882" max="15882" width="8.85546875" style="199"/>
    <col min="15883" max="15883" width="10.7109375" style="199" customWidth="1"/>
    <col min="15884" max="15884" width="10.42578125" style="199" bestFit="1" customWidth="1"/>
    <col min="15885" max="15885" width="10.28515625" style="199" customWidth="1"/>
    <col min="15886" max="15886" width="11.42578125" style="199" bestFit="1" customWidth="1"/>
    <col min="15887" max="16128" width="8.85546875" style="199"/>
    <col min="16129" max="16129" width="4.140625" style="199" customWidth="1"/>
    <col min="16130" max="16130" width="9.28515625" style="199" customWidth="1"/>
    <col min="16131" max="16131" width="39.7109375" style="199" customWidth="1"/>
    <col min="16132" max="16134" width="8.85546875" style="199"/>
    <col min="16135" max="16135" width="9.85546875" style="199" customWidth="1"/>
    <col min="16136" max="16136" width="11.42578125" style="199" bestFit="1" customWidth="1"/>
    <col min="16137" max="16137" width="10.85546875" style="199" customWidth="1"/>
    <col min="16138" max="16138" width="8.85546875" style="199"/>
    <col min="16139" max="16139" width="10.7109375" style="199" customWidth="1"/>
    <col min="16140" max="16140" width="10.42578125" style="199" bestFit="1" customWidth="1"/>
    <col min="16141" max="16141" width="10.28515625" style="199" customWidth="1"/>
    <col min="16142" max="16142" width="11.42578125" style="199" bestFit="1" customWidth="1"/>
    <col min="16143" max="16384" width="8.85546875" style="199"/>
  </cols>
  <sheetData>
    <row r="1" spans="1:19" ht="15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5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5">
      <c r="A3" s="19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35.450000000000003" customHeight="1">
      <c r="A4" s="457" t="s">
        <v>166</v>
      </c>
      <c r="B4" s="459" t="s">
        <v>167</v>
      </c>
      <c r="C4" s="455" t="s">
        <v>168</v>
      </c>
      <c r="D4" s="453" t="s">
        <v>169</v>
      </c>
      <c r="E4" s="461"/>
      <c r="F4" s="454"/>
      <c r="G4" s="453" t="s">
        <v>170</v>
      </c>
      <c r="H4" s="454"/>
      <c r="I4" s="453" t="s">
        <v>171</v>
      </c>
      <c r="J4" s="454"/>
      <c r="K4" s="453" t="s">
        <v>172</v>
      </c>
      <c r="L4" s="454"/>
      <c r="M4" s="455" t="s">
        <v>173</v>
      </c>
      <c r="N4" s="198"/>
      <c r="O4" s="198"/>
      <c r="P4" s="198"/>
      <c r="Q4" s="198"/>
      <c r="R4" s="198"/>
      <c r="S4" s="198"/>
    </row>
    <row r="5" spans="1:19" ht="60" customHeight="1">
      <c r="A5" s="458"/>
      <c r="B5" s="460"/>
      <c r="C5" s="456"/>
      <c r="D5" s="200" t="s">
        <v>174</v>
      </c>
      <c r="E5" s="200" t="s">
        <v>175</v>
      </c>
      <c r="F5" s="200" t="s">
        <v>60</v>
      </c>
      <c r="G5" s="200" t="s">
        <v>176</v>
      </c>
      <c r="H5" s="200" t="s">
        <v>60</v>
      </c>
      <c r="I5" s="200" t="s">
        <v>176</v>
      </c>
      <c r="J5" s="200" t="s">
        <v>60</v>
      </c>
      <c r="K5" s="200" t="s">
        <v>176</v>
      </c>
      <c r="L5" s="200" t="s">
        <v>60</v>
      </c>
      <c r="M5" s="456"/>
      <c r="N5" s="198"/>
      <c r="O5" s="198"/>
      <c r="P5" s="198"/>
      <c r="Q5" s="198"/>
      <c r="R5" s="198"/>
      <c r="S5" s="198"/>
    </row>
    <row r="6" spans="1:19" ht="15">
      <c r="A6" s="201">
        <v>1</v>
      </c>
      <c r="B6" s="202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  <c r="N6" s="198"/>
      <c r="O6" s="198"/>
      <c r="P6" s="198"/>
      <c r="Q6" s="198"/>
      <c r="R6" s="198"/>
      <c r="S6" s="198"/>
    </row>
    <row r="7" spans="1:19" ht="15">
      <c r="A7" s="203"/>
      <c r="B7" s="202"/>
      <c r="C7" s="203" t="s">
        <v>880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98"/>
      <c r="O7" s="198"/>
      <c r="P7" s="198"/>
      <c r="Q7" s="198"/>
      <c r="R7" s="198"/>
      <c r="S7" s="198"/>
    </row>
    <row r="8" spans="1:19" ht="30">
      <c r="A8" s="237">
        <v>1</v>
      </c>
      <c r="B8" s="238" t="s">
        <v>879</v>
      </c>
      <c r="C8" s="237" t="s">
        <v>881</v>
      </c>
      <c r="D8" s="237" t="s">
        <v>27</v>
      </c>
      <c r="E8" s="239"/>
      <c r="F8" s="239">
        <v>650</v>
      </c>
      <c r="G8" s="239"/>
      <c r="H8" s="239"/>
      <c r="I8" s="239"/>
      <c r="J8" s="239"/>
      <c r="K8" s="239"/>
      <c r="L8" s="239"/>
      <c r="M8" s="239"/>
      <c r="N8" s="198"/>
      <c r="O8" s="198"/>
      <c r="P8" s="198"/>
      <c r="Q8" s="198"/>
      <c r="R8" s="198"/>
      <c r="S8" s="198"/>
    </row>
    <row r="9" spans="1:19" ht="15">
      <c r="A9" s="237"/>
      <c r="B9" s="238"/>
      <c r="C9" s="239" t="s">
        <v>180</v>
      </c>
      <c r="D9" s="239" t="s">
        <v>27</v>
      </c>
      <c r="E9" s="239">
        <v>1</v>
      </c>
      <c r="F9" s="239">
        <f>E9*F8</f>
        <v>650</v>
      </c>
      <c r="G9" s="239"/>
      <c r="H9" s="239"/>
      <c r="I9" s="239"/>
      <c r="J9" s="239">
        <f t="shared" ref="J9" si="0">I9*F9</f>
        <v>0</v>
      </c>
      <c r="K9" s="239"/>
      <c r="L9" s="239"/>
      <c r="M9" s="239">
        <f t="shared" ref="M9:M12" si="1">L9+J9+H9</f>
        <v>0</v>
      </c>
      <c r="N9" s="198"/>
      <c r="O9" s="198"/>
      <c r="P9" s="198"/>
      <c r="Q9" s="198"/>
      <c r="R9" s="198"/>
      <c r="S9" s="198"/>
    </row>
    <row r="10" spans="1:19" ht="15">
      <c r="A10" s="237"/>
      <c r="B10" s="238"/>
      <c r="C10" s="239" t="s">
        <v>36</v>
      </c>
      <c r="D10" s="239" t="s">
        <v>25</v>
      </c>
      <c r="E10" s="239">
        <v>3.5900000000000001E-2</v>
      </c>
      <c r="F10" s="239">
        <f>E10*F8</f>
        <v>23.335000000000001</v>
      </c>
      <c r="G10" s="239"/>
      <c r="H10" s="239"/>
      <c r="I10" s="239"/>
      <c r="J10" s="239"/>
      <c r="K10" s="239"/>
      <c r="L10" s="240">
        <f t="shared" ref="L10" si="2">K10*F10</f>
        <v>0</v>
      </c>
      <c r="M10" s="240">
        <f t="shared" si="1"/>
        <v>0</v>
      </c>
      <c r="N10" s="198"/>
      <c r="O10" s="198"/>
      <c r="P10" s="198"/>
      <c r="Q10" s="198"/>
      <c r="R10" s="198"/>
      <c r="S10" s="198"/>
    </row>
    <row r="11" spans="1:19" ht="30">
      <c r="A11" s="237"/>
      <c r="B11" s="238"/>
      <c r="C11" s="239" t="s">
        <v>881</v>
      </c>
      <c r="D11" s="239" t="s">
        <v>27</v>
      </c>
      <c r="E11" s="239">
        <v>1</v>
      </c>
      <c r="F11" s="239">
        <f>E11*F8</f>
        <v>650</v>
      </c>
      <c r="G11" s="240"/>
      <c r="H11" s="240">
        <f t="shared" ref="H11:H12" si="3">G11*F11</f>
        <v>0</v>
      </c>
      <c r="I11" s="239"/>
      <c r="J11" s="239"/>
      <c r="K11" s="239"/>
      <c r="L11" s="239"/>
      <c r="M11" s="240">
        <f t="shared" si="1"/>
        <v>0</v>
      </c>
      <c r="N11" s="198"/>
      <c r="O11" s="198"/>
      <c r="P11" s="198"/>
      <c r="Q11" s="198"/>
      <c r="R11" s="198"/>
      <c r="S11" s="198"/>
    </row>
    <row r="12" spans="1:19" ht="15">
      <c r="A12" s="237"/>
      <c r="B12" s="238"/>
      <c r="C12" s="239" t="s">
        <v>21</v>
      </c>
      <c r="D12" s="239" t="s">
        <v>25</v>
      </c>
      <c r="E12" s="239">
        <v>0.14799999999999999</v>
      </c>
      <c r="F12" s="239">
        <f>E12*F8</f>
        <v>96.199999999999989</v>
      </c>
      <c r="G12" s="239"/>
      <c r="H12" s="240">
        <f t="shared" si="3"/>
        <v>0</v>
      </c>
      <c r="I12" s="239"/>
      <c r="J12" s="239"/>
      <c r="K12" s="239"/>
      <c r="L12" s="239"/>
      <c r="M12" s="240">
        <f t="shared" si="1"/>
        <v>0</v>
      </c>
      <c r="N12" s="198"/>
      <c r="O12" s="198"/>
      <c r="P12" s="198"/>
      <c r="Q12" s="198"/>
      <c r="R12" s="198"/>
      <c r="S12" s="198"/>
    </row>
    <row r="13" spans="1:19" ht="30">
      <c r="A13" s="237">
        <v>2</v>
      </c>
      <c r="B13" s="238" t="s">
        <v>879</v>
      </c>
      <c r="C13" s="237" t="s">
        <v>882</v>
      </c>
      <c r="D13" s="237" t="s">
        <v>27</v>
      </c>
      <c r="E13" s="239"/>
      <c r="F13" s="239">
        <v>1600</v>
      </c>
      <c r="G13" s="239"/>
      <c r="H13" s="239"/>
      <c r="I13" s="239"/>
      <c r="J13" s="239"/>
      <c r="K13" s="239"/>
      <c r="L13" s="239"/>
      <c r="M13" s="239"/>
      <c r="N13" s="198"/>
      <c r="O13" s="198"/>
      <c r="P13" s="198"/>
      <c r="Q13" s="198"/>
      <c r="R13" s="198"/>
      <c r="S13" s="198"/>
    </row>
    <row r="14" spans="1:19" ht="15">
      <c r="A14" s="237"/>
      <c r="B14" s="238"/>
      <c r="C14" s="239" t="s">
        <v>180</v>
      </c>
      <c r="D14" s="239" t="s">
        <v>27</v>
      </c>
      <c r="E14" s="239">
        <v>1</v>
      </c>
      <c r="F14" s="239">
        <f>E14*F13</f>
        <v>1600</v>
      </c>
      <c r="G14" s="239"/>
      <c r="H14" s="239"/>
      <c r="I14" s="239"/>
      <c r="J14" s="239">
        <f t="shared" ref="J14" si="4">I14*F14</f>
        <v>0</v>
      </c>
      <c r="K14" s="239"/>
      <c r="L14" s="239"/>
      <c r="M14" s="239">
        <f t="shared" ref="M14:M17" si="5">L14+J14+H14</f>
        <v>0</v>
      </c>
      <c r="N14" s="198"/>
      <c r="O14" s="198"/>
      <c r="P14" s="198"/>
      <c r="Q14" s="198"/>
      <c r="R14" s="198"/>
      <c r="S14" s="198"/>
    </row>
    <row r="15" spans="1:19" ht="15">
      <c r="A15" s="237"/>
      <c r="B15" s="238"/>
      <c r="C15" s="239" t="s">
        <v>36</v>
      </c>
      <c r="D15" s="239" t="s">
        <v>25</v>
      </c>
      <c r="E15" s="239">
        <v>3.5900000000000001E-2</v>
      </c>
      <c r="F15" s="239">
        <f>E15*F13</f>
        <v>57.440000000000005</v>
      </c>
      <c r="G15" s="239"/>
      <c r="H15" s="239"/>
      <c r="I15" s="239"/>
      <c r="J15" s="239"/>
      <c r="K15" s="239"/>
      <c r="L15" s="240">
        <f t="shared" ref="L15" si="6">K15*F15</f>
        <v>0</v>
      </c>
      <c r="M15" s="240">
        <f t="shared" si="5"/>
        <v>0</v>
      </c>
      <c r="N15" s="198"/>
      <c r="O15" s="198"/>
      <c r="P15" s="198"/>
      <c r="Q15" s="198"/>
      <c r="R15" s="198"/>
      <c r="S15" s="198"/>
    </row>
    <row r="16" spans="1:19" ht="30">
      <c r="A16" s="237"/>
      <c r="B16" s="238"/>
      <c r="C16" s="239" t="s">
        <v>881</v>
      </c>
      <c r="D16" s="239" t="s">
        <v>27</v>
      </c>
      <c r="E16" s="239">
        <v>1</v>
      </c>
      <c r="F16" s="239">
        <f>E16*F13</f>
        <v>1600</v>
      </c>
      <c r="G16" s="240"/>
      <c r="H16" s="240">
        <f t="shared" ref="H16:H17" si="7">G16*F16</f>
        <v>0</v>
      </c>
      <c r="I16" s="239"/>
      <c r="J16" s="239"/>
      <c r="K16" s="239"/>
      <c r="L16" s="239"/>
      <c r="M16" s="240">
        <f t="shared" si="5"/>
        <v>0</v>
      </c>
      <c r="N16" s="198"/>
      <c r="O16" s="198"/>
      <c r="P16" s="198"/>
      <c r="Q16" s="198"/>
      <c r="R16" s="198"/>
      <c r="S16" s="198"/>
    </row>
    <row r="17" spans="1:19" ht="15">
      <c r="A17" s="237"/>
      <c r="B17" s="238"/>
      <c r="C17" s="239" t="s">
        <v>21</v>
      </c>
      <c r="D17" s="239" t="s">
        <v>25</v>
      </c>
      <c r="E17" s="239">
        <v>0.14799999999999999</v>
      </c>
      <c r="F17" s="239">
        <f>E17*F13</f>
        <v>236.79999999999998</v>
      </c>
      <c r="G17" s="239"/>
      <c r="H17" s="240">
        <f t="shared" si="7"/>
        <v>0</v>
      </c>
      <c r="I17" s="239"/>
      <c r="J17" s="239"/>
      <c r="K17" s="239"/>
      <c r="L17" s="239"/>
      <c r="M17" s="240">
        <f t="shared" si="5"/>
        <v>0</v>
      </c>
      <c r="N17" s="198"/>
      <c r="O17" s="198"/>
      <c r="P17" s="198"/>
      <c r="Q17" s="198"/>
      <c r="R17" s="198"/>
      <c r="S17" s="198"/>
    </row>
    <row r="18" spans="1:19" ht="30">
      <c r="A18" s="237">
        <v>3</v>
      </c>
      <c r="B18" s="238" t="s">
        <v>883</v>
      </c>
      <c r="C18" s="237" t="s">
        <v>884</v>
      </c>
      <c r="D18" s="237" t="s">
        <v>27</v>
      </c>
      <c r="E18" s="239"/>
      <c r="F18" s="239">
        <v>800</v>
      </c>
      <c r="G18" s="239"/>
      <c r="H18" s="239"/>
      <c r="I18" s="239"/>
      <c r="J18" s="239"/>
      <c r="K18" s="239"/>
      <c r="L18" s="239"/>
      <c r="M18" s="239"/>
      <c r="N18" s="198"/>
      <c r="O18" s="198"/>
      <c r="P18" s="198"/>
      <c r="Q18" s="198"/>
      <c r="R18" s="198"/>
      <c r="S18" s="198"/>
    </row>
    <row r="19" spans="1:19" ht="15">
      <c r="A19" s="237"/>
      <c r="B19" s="238"/>
      <c r="C19" s="239" t="s">
        <v>180</v>
      </c>
      <c r="D19" s="239" t="s">
        <v>27</v>
      </c>
      <c r="E19" s="239">
        <v>1</v>
      </c>
      <c r="F19" s="239">
        <f>E19*F18</f>
        <v>800</v>
      </c>
      <c r="G19" s="239"/>
      <c r="H19" s="239"/>
      <c r="I19" s="239"/>
      <c r="J19" s="239">
        <f t="shared" ref="J19" si="8">I19*F19</f>
        <v>0</v>
      </c>
      <c r="K19" s="239"/>
      <c r="L19" s="239"/>
      <c r="M19" s="239">
        <f t="shared" ref="M19:M22" si="9">L19+J19+H19</f>
        <v>0</v>
      </c>
      <c r="N19" s="198"/>
      <c r="O19" s="198"/>
      <c r="P19" s="198"/>
      <c r="Q19" s="198"/>
      <c r="R19" s="198"/>
      <c r="S19" s="198"/>
    </row>
    <row r="20" spans="1:19" ht="15">
      <c r="A20" s="237"/>
      <c r="B20" s="238"/>
      <c r="C20" s="239" t="s">
        <v>36</v>
      </c>
      <c r="D20" s="239" t="s">
        <v>25</v>
      </c>
      <c r="E20" s="239">
        <v>6.9999999999999999E-4</v>
      </c>
      <c r="F20" s="239">
        <f>E20*F18</f>
        <v>0.55999999999999994</v>
      </c>
      <c r="G20" s="239"/>
      <c r="H20" s="239"/>
      <c r="I20" s="239"/>
      <c r="J20" s="239"/>
      <c r="K20" s="239"/>
      <c r="L20" s="240">
        <f t="shared" ref="L20" si="10">K20*F20</f>
        <v>0</v>
      </c>
      <c r="M20" s="240">
        <f t="shared" si="9"/>
        <v>0</v>
      </c>
      <c r="N20" s="198"/>
      <c r="O20" s="198"/>
      <c r="P20" s="198"/>
      <c r="Q20" s="198"/>
      <c r="R20" s="198"/>
      <c r="S20" s="198"/>
    </row>
    <row r="21" spans="1:19" ht="30">
      <c r="A21" s="237"/>
      <c r="B21" s="238"/>
      <c r="C21" s="239" t="s">
        <v>884</v>
      </c>
      <c r="D21" s="239" t="s">
        <v>27</v>
      </c>
      <c r="E21" s="239">
        <v>1</v>
      </c>
      <c r="F21" s="239">
        <f>E21*F18</f>
        <v>800</v>
      </c>
      <c r="G21" s="240"/>
      <c r="H21" s="240">
        <f t="shared" ref="H21:H22" si="11">G21*F21</f>
        <v>0</v>
      </c>
      <c r="I21" s="239"/>
      <c r="J21" s="239"/>
      <c r="K21" s="239"/>
      <c r="L21" s="239"/>
      <c r="M21" s="240">
        <f t="shared" si="9"/>
        <v>0</v>
      </c>
      <c r="N21" s="198"/>
      <c r="O21" s="198"/>
      <c r="P21" s="198"/>
      <c r="Q21" s="198"/>
      <c r="R21" s="198"/>
      <c r="S21" s="198"/>
    </row>
    <row r="22" spans="1:19" ht="15">
      <c r="A22" s="237"/>
      <c r="B22" s="238"/>
      <c r="C22" s="239" t="s">
        <v>21</v>
      </c>
      <c r="D22" s="239" t="s">
        <v>25</v>
      </c>
      <c r="E22" s="239">
        <v>4.7000000000000002E-3</v>
      </c>
      <c r="F22" s="239">
        <f>E22*F18</f>
        <v>3.7600000000000002</v>
      </c>
      <c r="G22" s="239"/>
      <c r="H22" s="240">
        <f t="shared" si="11"/>
        <v>0</v>
      </c>
      <c r="I22" s="239"/>
      <c r="J22" s="239"/>
      <c r="K22" s="239"/>
      <c r="L22" s="239"/>
      <c r="M22" s="240">
        <f t="shared" si="9"/>
        <v>0</v>
      </c>
      <c r="N22" s="198"/>
      <c r="O22" s="198"/>
      <c r="P22" s="198"/>
      <c r="Q22" s="198"/>
      <c r="R22" s="198"/>
      <c r="S22" s="198"/>
    </row>
    <row r="23" spans="1:19" ht="30">
      <c r="A23" s="237">
        <v>4</v>
      </c>
      <c r="B23" s="238" t="s">
        <v>883</v>
      </c>
      <c r="C23" s="237" t="s">
        <v>885</v>
      </c>
      <c r="D23" s="237" t="s">
        <v>27</v>
      </c>
      <c r="E23" s="239"/>
      <c r="F23" s="239">
        <v>500</v>
      </c>
      <c r="G23" s="239"/>
      <c r="H23" s="239"/>
      <c r="I23" s="239"/>
      <c r="J23" s="239"/>
      <c r="K23" s="239"/>
      <c r="L23" s="239"/>
      <c r="M23" s="239"/>
      <c r="N23" s="198"/>
      <c r="O23" s="198"/>
      <c r="P23" s="198"/>
      <c r="Q23" s="198"/>
      <c r="R23" s="198"/>
      <c r="S23" s="198"/>
    </row>
    <row r="24" spans="1:19" ht="15">
      <c r="A24" s="237"/>
      <c r="B24" s="238"/>
      <c r="C24" s="239" t="s">
        <v>180</v>
      </c>
      <c r="D24" s="239" t="s">
        <v>27</v>
      </c>
      <c r="E24" s="239">
        <v>1</v>
      </c>
      <c r="F24" s="239">
        <f>E24*F23</f>
        <v>500</v>
      </c>
      <c r="G24" s="239"/>
      <c r="H24" s="239"/>
      <c r="I24" s="239"/>
      <c r="J24" s="239">
        <f t="shared" ref="J24" si="12">I24*F24</f>
        <v>0</v>
      </c>
      <c r="K24" s="239"/>
      <c r="L24" s="239"/>
      <c r="M24" s="239">
        <f t="shared" ref="M24:M27" si="13">L24+J24+H24</f>
        <v>0</v>
      </c>
      <c r="N24" s="198"/>
      <c r="O24" s="198"/>
      <c r="P24" s="198"/>
      <c r="Q24" s="198"/>
      <c r="R24" s="198"/>
      <c r="S24" s="198"/>
    </row>
    <row r="25" spans="1:19" ht="15">
      <c r="A25" s="237"/>
      <c r="B25" s="238"/>
      <c r="C25" s="239" t="s">
        <v>36</v>
      </c>
      <c r="D25" s="239" t="s">
        <v>25</v>
      </c>
      <c r="E25" s="239">
        <v>6.9999999999999999E-4</v>
      </c>
      <c r="F25" s="239">
        <f>E25*F23</f>
        <v>0.35</v>
      </c>
      <c r="G25" s="239"/>
      <c r="H25" s="239"/>
      <c r="I25" s="239"/>
      <c r="J25" s="239"/>
      <c r="K25" s="239"/>
      <c r="L25" s="240">
        <f t="shared" ref="L25" si="14">K25*F25</f>
        <v>0</v>
      </c>
      <c r="M25" s="240">
        <f t="shared" si="13"/>
        <v>0</v>
      </c>
      <c r="N25" s="198"/>
      <c r="O25" s="198"/>
      <c r="P25" s="198"/>
      <c r="Q25" s="198"/>
      <c r="R25" s="198"/>
      <c r="S25" s="198"/>
    </row>
    <row r="26" spans="1:19" ht="30">
      <c r="A26" s="237"/>
      <c r="B26" s="238"/>
      <c r="C26" s="239" t="s">
        <v>885</v>
      </c>
      <c r="D26" s="239" t="s">
        <v>27</v>
      </c>
      <c r="E26" s="239">
        <v>1</v>
      </c>
      <c r="F26" s="239">
        <f>E26*F23</f>
        <v>500</v>
      </c>
      <c r="G26" s="240"/>
      <c r="H26" s="240">
        <f t="shared" ref="H26:H27" si="15">G26*F26</f>
        <v>0</v>
      </c>
      <c r="I26" s="239"/>
      <c r="J26" s="239"/>
      <c r="K26" s="239"/>
      <c r="L26" s="239"/>
      <c r="M26" s="240">
        <f t="shared" si="13"/>
        <v>0</v>
      </c>
      <c r="N26" s="198"/>
      <c r="O26" s="198"/>
      <c r="P26" s="198"/>
      <c r="Q26" s="198"/>
      <c r="R26" s="198"/>
      <c r="S26" s="198"/>
    </row>
    <row r="27" spans="1:19" ht="15">
      <c r="A27" s="237"/>
      <c r="B27" s="238"/>
      <c r="C27" s="239" t="s">
        <v>21</v>
      </c>
      <c r="D27" s="239" t="s">
        <v>25</v>
      </c>
      <c r="E27" s="239">
        <v>4.7000000000000002E-3</v>
      </c>
      <c r="F27" s="239">
        <f>E27*F23</f>
        <v>2.35</v>
      </c>
      <c r="G27" s="239"/>
      <c r="H27" s="240">
        <f t="shared" si="15"/>
        <v>0</v>
      </c>
      <c r="I27" s="239"/>
      <c r="J27" s="239"/>
      <c r="K27" s="239"/>
      <c r="L27" s="239"/>
      <c r="M27" s="240">
        <f t="shared" si="13"/>
        <v>0</v>
      </c>
      <c r="N27" s="198"/>
      <c r="O27" s="198"/>
      <c r="P27" s="198"/>
      <c r="Q27" s="198"/>
      <c r="R27" s="198"/>
      <c r="S27" s="198"/>
    </row>
    <row r="28" spans="1:19" ht="15">
      <c r="A28" s="237">
        <v>5</v>
      </c>
      <c r="B28" s="238"/>
      <c r="C28" s="237" t="s">
        <v>886</v>
      </c>
      <c r="D28" s="239" t="s">
        <v>99</v>
      </c>
      <c r="E28" s="239"/>
      <c r="F28" s="239">
        <v>15</v>
      </c>
      <c r="G28" s="240"/>
      <c r="H28" s="240">
        <f t="shared" ref="H28" si="16">G28*F28</f>
        <v>0</v>
      </c>
      <c r="I28" s="239"/>
      <c r="J28" s="239">
        <f t="shared" ref="J28" si="17">I28*F28</f>
        <v>0</v>
      </c>
      <c r="K28" s="239"/>
      <c r="L28" s="239"/>
      <c r="M28" s="240">
        <f t="shared" ref="M28" si="18">L28+J28+H28</f>
        <v>0</v>
      </c>
      <c r="N28" s="198"/>
      <c r="O28" s="198"/>
      <c r="P28" s="198"/>
      <c r="Q28" s="198"/>
      <c r="R28" s="198"/>
      <c r="S28" s="198"/>
    </row>
    <row r="29" spans="1:19" ht="15">
      <c r="A29" s="237">
        <v>6</v>
      </c>
      <c r="B29" s="238"/>
      <c r="C29" s="237" t="s">
        <v>887</v>
      </c>
      <c r="D29" s="239" t="s">
        <v>99</v>
      </c>
      <c r="E29" s="239"/>
      <c r="F29" s="239">
        <v>55</v>
      </c>
      <c r="G29" s="240"/>
      <c r="H29" s="240">
        <f t="shared" ref="H29" si="19">G29*F29</f>
        <v>0</v>
      </c>
      <c r="I29" s="239"/>
      <c r="J29" s="239">
        <f t="shared" ref="J29" si="20">I29*F29</f>
        <v>0</v>
      </c>
      <c r="K29" s="239"/>
      <c r="L29" s="239"/>
      <c r="M29" s="240">
        <f t="shared" ref="M29" si="21">L29+J29+H29</f>
        <v>0</v>
      </c>
      <c r="N29" s="198"/>
      <c r="O29" s="198"/>
      <c r="P29" s="198"/>
      <c r="Q29" s="198"/>
      <c r="R29" s="198"/>
      <c r="S29" s="198"/>
    </row>
    <row r="30" spans="1:19" ht="15">
      <c r="A30" s="237">
        <v>7</v>
      </c>
      <c r="B30" s="238"/>
      <c r="C30" s="237" t="s">
        <v>888</v>
      </c>
      <c r="D30" s="239" t="s">
        <v>99</v>
      </c>
      <c r="E30" s="239"/>
      <c r="F30" s="239">
        <v>15</v>
      </c>
      <c r="G30" s="240"/>
      <c r="H30" s="240">
        <f t="shared" ref="H30" si="22">G30*F30</f>
        <v>0</v>
      </c>
      <c r="I30" s="239"/>
      <c r="J30" s="239">
        <f t="shared" ref="J30" si="23">I30*F30</f>
        <v>0</v>
      </c>
      <c r="K30" s="239"/>
      <c r="L30" s="239"/>
      <c r="M30" s="240">
        <f t="shared" ref="M30" si="24">L30+J30+H30</f>
        <v>0</v>
      </c>
      <c r="N30" s="198"/>
      <c r="O30" s="198"/>
      <c r="P30" s="198"/>
      <c r="Q30" s="198"/>
      <c r="R30" s="198"/>
      <c r="S30" s="198"/>
    </row>
    <row r="31" spans="1:19" ht="15">
      <c r="A31" s="237">
        <v>8</v>
      </c>
      <c r="B31" s="238"/>
      <c r="C31" s="237" t="s">
        <v>889</v>
      </c>
      <c r="D31" s="239" t="s">
        <v>99</v>
      </c>
      <c r="E31" s="239"/>
      <c r="F31" s="239">
        <v>5</v>
      </c>
      <c r="G31" s="240"/>
      <c r="H31" s="240">
        <f t="shared" ref="H31" si="25">G31*F31</f>
        <v>0</v>
      </c>
      <c r="I31" s="239"/>
      <c r="J31" s="239">
        <f t="shared" ref="J31" si="26">I31*F31</f>
        <v>0</v>
      </c>
      <c r="K31" s="239"/>
      <c r="L31" s="239"/>
      <c r="M31" s="240">
        <f t="shared" ref="M31" si="27">L31+J31+H31</f>
        <v>0</v>
      </c>
      <c r="N31" s="198"/>
      <c r="O31" s="198"/>
      <c r="P31" s="198"/>
      <c r="Q31" s="198"/>
      <c r="R31" s="198"/>
      <c r="S31" s="198"/>
    </row>
    <row r="32" spans="1:19" ht="15">
      <c r="A32" s="237">
        <v>9</v>
      </c>
      <c r="B32" s="238"/>
      <c r="C32" s="237" t="s">
        <v>890</v>
      </c>
      <c r="D32" s="239" t="s">
        <v>99</v>
      </c>
      <c r="E32" s="239"/>
      <c r="F32" s="239">
        <v>13</v>
      </c>
      <c r="G32" s="240"/>
      <c r="H32" s="240">
        <f t="shared" ref="H32" si="28">G32*F32</f>
        <v>0</v>
      </c>
      <c r="I32" s="239"/>
      <c r="J32" s="239">
        <f t="shared" ref="J32" si="29">I32*F32</f>
        <v>0</v>
      </c>
      <c r="K32" s="239"/>
      <c r="L32" s="239"/>
      <c r="M32" s="240">
        <f t="shared" ref="M32" si="30">L32+J32+H32</f>
        <v>0</v>
      </c>
      <c r="N32" s="198"/>
      <c r="O32" s="198"/>
      <c r="P32" s="198"/>
      <c r="Q32" s="198"/>
      <c r="R32" s="198"/>
      <c r="S32" s="198"/>
    </row>
    <row r="33" spans="1:19" ht="15">
      <c r="A33" s="237">
        <v>10</v>
      </c>
      <c r="B33" s="238"/>
      <c r="C33" s="237" t="s">
        <v>890</v>
      </c>
      <c r="D33" s="239" t="s">
        <v>99</v>
      </c>
      <c r="E33" s="239"/>
      <c r="F33" s="239">
        <v>5</v>
      </c>
      <c r="G33" s="240"/>
      <c r="H33" s="240">
        <f t="shared" ref="H33" si="31">G33*F33</f>
        <v>0</v>
      </c>
      <c r="I33" s="239"/>
      <c r="J33" s="239">
        <f t="shared" ref="J33" si="32">I33*F33</f>
        <v>0</v>
      </c>
      <c r="K33" s="239"/>
      <c r="L33" s="239"/>
      <c r="M33" s="240">
        <f t="shared" ref="M33" si="33">L33+J33+H33</f>
        <v>0</v>
      </c>
      <c r="N33" s="198"/>
      <c r="O33" s="198"/>
      <c r="P33" s="198"/>
      <c r="Q33" s="198"/>
      <c r="R33" s="198"/>
      <c r="S33" s="198"/>
    </row>
    <row r="34" spans="1:19" ht="30">
      <c r="A34" s="237">
        <v>11</v>
      </c>
      <c r="B34" s="238" t="s">
        <v>891</v>
      </c>
      <c r="C34" s="237" t="s">
        <v>893</v>
      </c>
      <c r="D34" s="237" t="s">
        <v>19</v>
      </c>
      <c r="E34" s="239"/>
      <c r="F34" s="239">
        <v>50</v>
      </c>
      <c r="G34" s="239"/>
      <c r="H34" s="239"/>
      <c r="I34" s="239"/>
      <c r="J34" s="239"/>
      <c r="K34" s="239"/>
      <c r="L34" s="239"/>
      <c r="M34" s="239"/>
      <c r="N34" s="198"/>
      <c r="O34" s="198"/>
      <c r="P34" s="198"/>
      <c r="Q34" s="198"/>
      <c r="R34" s="198"/>
      <c r="S34" s="198"/>
    </row>
    <row r="35" spans="1:19" ht="15">
      <c r="A35" s="237"/>
      <c r="B35" s="238"/>
      <c r="C35" s="239" t="s">
        <v>180</v>
      </c>
      <c r="D35" s="239" t="s">
        <v>19</v>
      </c>
      <c r="E35" s="239">
        <v>1</v>
      </c>
      <c r="F35" s="239">
        <f>E35*F34</f>
        <v>50</v>
      </c>
      <c r="G35" s="239"/>
      <c r="H35" s="239"/>
      <c r="I35" s="239"/>
      <c r="J35" s="239">
        <f t="shared" ref="J35" si="34">I35*F35</f>
        <v>0</v>
      </c>
      <c r="K35" s="239"/>
      <c r="L35" s="239"/>
      <c r="M35" s="239">
        <f t="shared" ref="M35:M39" si="35">L35+J35+H35</f>
        <v>0</v>
      </c>
      <c r="N35" s="198"/>
      <c r="O35" s="198"/>
      <c r="P35" s="198"/>
      <c r="Q35" s="198"/>
      <c r="R35" s="198"/>
      <c r="S35" s="198"/>
    </row>
    <row r="36" spans="1:19" ht="15">
      <c r="A36" s="237"/>
      <c r="B36" s="238"/>
      <c r="C36" s="239" t="s">
        <v>36</v>
      </c>
      <c r="D36" s="239" t="s">
        <v>25</v>
      </c>
      <c r="E36" s="239">
        <v>0.1</v>
      </c>
      <c r="F36" s="239">
        <f>E36*F34</f>
        <v>5</v>
      </c>
      <c r="G36" s="239"/>
      <c r="H36" s="239"/>
      <c r="I36" s="239"/>
      <c r="J36" s="239"/>
      <c r="K36" s="239"/>
      <c r="L36" s="240">
        <f t="shared" ref="L36" si="36">K36*F36</f>
        <v>0</v>
      </c>
      <c r="M36" s="240">
        <f t="shared" si="35"/>
        <v>0</v>
      </c>
      <c r="N36" s="198"/>
      <c r="O36" s="198"/>
      <c r="P36" s="198"/>
      <c r="Q36" s="198"/>
      <c r="R36" s="198"/>
      <c r="S36" s="198"/>
    </row>
    <row r="37" spans="1:19" ht="15">
      <c r="A37" s="237"/>
      <c r="B37" s="238"/>
      <c r="C37" s="239" t="s">
        <v>892</v>
      </c>
      <c r="D37" s="239" t="s">
        <v>19</v>
      </c>
      <c r="E37" s="239">
        <v>1</v>
      </c>
      <c r="F37" s="239">
        <f>E37*F34</f>
        <v>50</v>
      </c>
      <c r="G37" s="240"/>
      <c r="H37" s="240">
        <f t="shared" ref="H37:H39" si="37">G37*F37</f>
        <v>0</v>
      </c>
      <c r="I37" s="239"/>
      <c r="J37" s="239"/>
      <c r="K37" s="239"/>
      <c r="L37" s="239"/>
      <c r="M37" s="240">
        <f t="shared" si="35"/>
        <v>0</v>
      </c>
      <c r="N37" s="198"/>
      <c r="O37" s="198"/>
      <c r="P37" s="198"/>
      <c r="Q37" s="198"/>
      <c r="R37" s="198"/>
      <c r="S37" s="198"/>
    </row>
    <row r="38" spans="1:19" ht="15">
      <c r="A38" s="237"/>
      <c r="B38" s="238"/>
      <c r="C38" s="239" t="s">
        <v>894</v>
      </c>
      <c r="D38" s="239" t="s">
        <v>19</v>
      </c>
      <c r="E38" s="239">
        <v>1</v>
      </c>
      <c r="F38" s="239">
        <f>E38*F35</f>
        <v>50</v>
      </c>
      <c r="G38" s="240"/>
      <c r="H38" s="240">
        <f t="shared" ref="H38" si="38">G38*F38</f>
        <v>0</v>
      </c>
      <c r="I38" s="239"/>
      <c r="J38" s="239"/>
      <c r="K38" s="239"/>
      <c r="L38" s="239"/>
      <c r="M38" s="240">
        <f t="shared" ref="M38" si="39">L38+J38+H38</f>
        <v>0</v>
      </c>
      <c r="N38" s="198"/>
      <c r="O38" s="198"/>
      <c r="P38" s="198"/>
      <c r="Q38" s="198"/>
      <c r="R38" s="198"/>
      <c r="S38" s="198"/>
    </row>
    <row r="39" spans="1:19" ht="15">
      <c r="A39" s="237"/>
      <c r="B39" s="238"/>
      <c r="C39" s="239" t="s">
        <v>21</v>
      </c>
      <c r="D39" s="239" t="s">
        <v>25</v>
      </c>
      <c r="E39" s="239">
        <v>0.38</v>
      </c>
      <c r="F39" s="239">
        <f>E39*F34</f>
        <v>19</v>
      </c>
      <c r="G39" s="239"/>
      <c r="H39" s="240">
        <f t="shared" si="37"/>
        <v>0</v>
      </c>
      <c r="I39" s="239"/>
      <c r="J39" s="239"/>
      <c r="K39" s="239"/>
      <c r="L39" s="239"/>
      <c r="M39" s="240">
        <f t="shared" si="35"/>
        <v>0</v>
      </c>
      <c r="N39" s="198"/>
      <c r="O39" s="198"/>
      <c r="P39" s="198"/>
      <c r="Q39" s="198"/>
      <c r="R39" s="198"/>
      <c r="S39" s="198"/>
    </row>
    <row r="40" spans="1:19" ht="30">
      <c r="A40" s="237">
        <v>12</v>
      </c>
      <c r="B40" s="238" t="s">
        <v>891</v>
      </c>
      <c r="C40" s="237" t="s">
        <v>895</v>
      </c>
      <c r="D40" s="237" t="s">
        <v>19</v>
      </c>
      <c r="E40" s="239"/>
      <c r="F40" s="239">
        <v>9</v>
      </c>
      <c r="G40" s="239"/>
      <c r="H40" s="239"/>
      <c r="I40" s="239"/>
      <c r="J40" s="239"/>
      <c r="K40" s="239"/>
      <c r="L40" s="239"/>
      <c r="M40" s="239"/>
      <c r="N40" s="198"/>
      <c r="O40" s="198"/>
      <c r="P40" s="198"/>
      <c r="Q40" s="198"/>
      <c r="R40" s="198"/>
      <c r="S40" s="198"/>
    </row>
    <row r="41" spans="1:19" ht="15">
      <c r="A41" s="237"/>
      <c r="B41" s="238"/>
      <c r="C41" s="239" t="s">
        <v>180</v>
      </c>
      <c r="D41" s="239" t="s">
        <v>19</v>
      </c>
      <c r="E41" s="239">
        <v>1</v>
      </c>
      <c r="F41" s="239">
        <f>E41*F40</f>
        <v>9</v>
      </c>
      <c r="G41" s="239"/>
      <c r="H41" s="239"/>
      <c r="I41" s="239"/>
      <c r="J41" s="239">
        <f t="shared" ref="J41" si="40">I41*F41</f>
        <v>0</v>
      </c>
      <c r="K41" s="239"/>
      <c r="L41" s="239"/>
      <c r="M41" s="239">
        <f t="shared" ref="M41:M48" si="41">L41+J41+H41</f>
        <v>0</v>
      </c>
      <c r="N41" s="198"/>
      <c r="O41" s="198"/>
      <c r="P41" s="198"/>
      <c r="Q41" s="198"/>
      <c r="R41" s="198"/>
      <c r="S41" s="198"/>
    </row>
    <row r="42" spans="1:19" ht="15">
      <c r="A42" s="237"/>
      <c r="B42" s="238"/>
      <c r="C42" s="239" t="s">
        <v>36</v>
      </c>
      <c r="D42" s="239" t="s">
        <v>25</v>
      </c>
      <c r="E42" s="239">
        <v>0.1</v>
      </c>
      <c r="F42" s="239">
        <f>E42*F40</f>
        <v>0.9</v>
      </c>
      <c r="G42" s="239"/>
      <c r="H42" s="239"/>
      <c r="I42" s="239"/>
      <c r="J42" s="239"/>
      <c r="K42" s="239"/>
      <c r="L42" s="240">
        <f t="shared" ref="L42" si="42">K42*F42</f>
        <v>0</v>
      </c>
      <c r="M42" s="240">
        <f t="shared" si="41"/>
        <v>0</v>
      </c>
      <c r="N42" s="198"/>
      <c r="O42" s="198"/>
      <c r="P42" s="198"/>
      <c r="Q42" s="198"/>
      <c r="R42" s="198"/>
      <c r="S42" s="198"/>
    </row>
    <row r="43" spans="1:19" ht="30">
      <c r="A43" s="237"/>
      <c r="B43" s="238"/>
      <c r="C43" s="239" t="s">
        <v>896</v>
      </c>
      <c r="D43" s="239" t="s">
        <v>19</v>
      </c>
      <c r="E43" s="239">
        <v>1</v>
      </c>
      <c r="F43" s="239">
        <v>4</v>
      </c>
      <c r="G43" s="240"/>
      <c r="H43" s="240">
        <f t="shared" ref="H43" si="43">G43*F43</f>
        <v>0</v>
      </c>
      <c r="I43" s="239"/>
      <c r="J43" s="239"/>
      <c r="K43" s="239"/>
      <c r="L43" s="239"/>
      <c r="M43" s="240">
        <f t="shared" si="41"/>
        <v>0</v>
      </c>
      <c r="N43" s="198"/>
      <c r="O43" s="198"/>
      <c r="P43" s="198"/>
      <c r="Q43" s="198"/>
      <c r="R43" s="198"/>
      <c r="S43" s="198"/>
    </row>
    <row r="44" spans="1:19" ht="30">
      <c r="A44" s="237"/>
      <c r="B44" s="238"/>
      <c r="C44" s="239" t="s">
        <v>897</v>
      </c>
      <c r="D44" s="239" t="s">
        <v>19</v>
      </c>
      <c r="E44" s="239">
        <v>1</v>
      </c>
      <c r="F44" s="239">
        <v>2</v>
      </c>
      <c r="G44" s="240"/>
      <c r="H44" s="240">
        <f t="shared" ref="H44:H45" si="44">G44*F44</f>
        <v>0</v>
      </c>
      <c r="I44" s="239"/>
      <c r="J44" s="239"/>
      <c r="K44" s="239"/>
      <c r="L44" s="239"/>
      <c r="M44" s="240">
        <f t="shared" ref="M44:M45" si="45">L44+J44+H44</f>
        <v>0</v>
      </c>
      <c r="N44" s="198"/>
      <c r="O44" s="198"/>
      <c r="P44" s="198"/>
      <c r="Q44" s="198"/>
      <c r="R44" s="198"/>
      <c r="S44" s="198"/>
    </row>
    <row r="45" spans="1:19" ht="30">
      <c r="A45" s="237"/>
      <c r="B45" s="238"/>
      <c r="C45" s="239" t="s">
        <v>898</v>
      </c>
      <c r="D45" s="239" t="s">
        <v>19</v>
      </c>
      <c r="E45" s="239">
        <v>1</v>
      </c>
      <c r="F45" s="239">
        <v>1</v>
      </c>
      <c r="G45" s="240"/>
      <c r="H45" s="240">
        <f t="shared" si="44"/>
        <v>0</v>
      </c>
      <c r="I45" s="239"/>
      <c r="J45" s="239"/>
      <c r="K45" s="239"/>
      <c r="L45" s="239"/>
      <c r="M45" s="240">
        <f t="shared" si="45"/>
        <v>0</v>
      </c>
      <c r="N45" s="198"/>
      <c r="O45" s="198"/>
      <c r="P45" s="198"/>
      <c r="Q45" s="198"/>
      <c r="R45" s="198"/>
      <c r="S45" s="198"/>
    </row>
    <row r="46" spans="1:19" ht="30">
      <c r="A46" s="237"/>
      <c r="B46" s="238"/>
      <c r="C46" s="239" t="s">
        <v>899</v>
      </c>
      <c r="D46" s="239" t="s">
        <v>19</v>
      </c>
      <c r="E46" s="239">
        <v>1</v>
      </c>
      <c r="F46" s="239">
        <v>1</v>
      </c>
      <c r="G46" s="240"/>
      <c r="H46" s="240">
        <f t="shared" ref="H46:H48" si="46">G46*F46</f>
        <v>0</v>
      </c>
      <c r="I46" s="239"/>
      <c r="J46" s="239"/>
      <c r="K46" s="239"/>
      <c r="L46" s="239"/>
      <c r="M46" s="240">
        <f t="shared" si="41"/>
        <v>0</v>
      </c>
      <c r="N46" s="198"/>
      <c r="O46" s="198"/>
      <c r="P46" s="198"/>
      <c r="Q46" s="198"/>
      <c r="R46" s="198"/>
      <c r="S46" s="198"/>
    </row>
    <row r="47" spans="1:19" ht="30">
      <c r="A47" s="237"/>
      <c r="B47" s="238"/>
      <c r="C47" s="239" t="s">
        <v>900</v>
      </c>
      <c r="D47" s="239" t="s">
        <v>19</v>
      </c>
      <c r="E47" s="239">
        <v>1</v>
      </c>
      <c r="F47" s="239">
        <v>1</v>
      </c>
      <c r="G47" s="240"/>
      <c r="H47" s="240">
        <f t="shared" ref="H47" si="47">G47*F47</f>
        <v>0</v>
      </c>
      <c r="I47" s="239"/>
      <c r="J47" s="239"/>
      <c r="K47" s="239"/>
      <c r="L47" s="239"/>
      <c r="M47" s="240">
        <f t="shared" ref="M47" si="48">L47+J47+H47</f>
        <v>0</v>
      </c>
      <c r="N47" s="198"/>
      <c r="O47" s="198"/>
      <c r="P47" s="198"/>
      <c r="Q47" s="198"/>
      <c r="R47" s="198"/>
      <c r="S47" s="198"/>
    </row>
    <row r="48" spans="1:19" ht="15">
      <c r="A48" s="237"/>
      <c r="B48" s="238"/>
      <c r="C48" s="239" t="s">
        <v>21</v>
      </c>
      <c r="D48" s="239" t="s">
        <v>25</v>
      </c>
      <c r="E48" s="239">
        <v>0.38</v>
      </c>
      <c r="F48" s="239">
        <f>E48*F40</f>
        <v>3.42</v>
      </c>
      <c r="G48" s="239"/>
      <c r="H48" s="240">
        <f t="shared" si="46"/>
        <v>0</v>
      </c>
      <c r="I48" s="239"/>
      <c r="J48" s="239"/>
      <c r="K48" s="239"/>
      <c r="L48" s="239"/>
      <c r="M48" s="240">
        <f t="shared" si="41"/>
        <v>0</v>
      </c>
      <c r="N48" s="198"/>
      <c r="O48" s="198"/>
      <c r="P48" s="198"/>
      <c r="Q48" s="198"/>
      <c r="R48" s="198"/>
      <c r="S48" s="198"/>
    </row>
    <row r="49" spans="1:19" ht="15">
      <c r="A49" s="237">
        <v>13</v>
      </c>
      <c r="B49" s="238" t="s">
        <v>901</v>
      </c>
      <c r="C49" s="237" t="s">
        <v>902</v>
      </c>
      <c r="D49" s="237" t="s">
        <v>19</v>
      </c>
      <c r="E49" s="239"/>
      <c r="F49" s="239">
        <f>48+29</f>
        <v>77</v>
      </c>
      <c r="G49" s="239"/>
      <c r="H49" s="239"/>
      <c r="I49" s="239"/>
      <c r="J49" s="239"/>
      <c r="K49" s="239"/>
      <c r="L49" s="239"/>
      <c r="M49" s="239"/>
      <c r="N49" s="198"/>
      <c r="O49" s="198"/>
      <c r="P49" s="198"/>
      <c r="Q49" s="198"/>
      <c r="R49" s="198"/>
      <c r="S49" s="198"/>
    </row>
    <row r="50" spans="1:19" ht="15">
      <c r="A50" s="237"/>
      <c r="B50" s="238"/>
      <c r="C50" s="239" t="s">
        <v>180</v>
      </c>
      <c r="D50" s="239" t="s">
        <v>19</v>
      </c>
      <c r="E50" s="239">
        <v>1</v>
      </c>
      <c r="F50" s="239">
        <f>E50*F49</f>
        <v>77</v>
      </c>
      <c r="G50" s="239"/>
      <c r="H50" s="239"/>
      <c r="I50" s="239"/>
      <c r="J50" s="239">
        <f t="shared" ref="J50" si="49">I50*F50</f>
        <v>0</v>
      </c>
      <c r="K50" s="239"/>
      <c r="L50" s="239"/>
      <c r="M50" s="239">
        <f t="shared" ref="M50:M54" si="50">L50+J50+H50</f>
        <v>0</v>
      </c>
      <c r="N50" s="198"/>
      <c r="O50" s="198"/>
      <c r="P50" s="198"/>
      <c r="Q50" s="198"/>
      <c r="R50" s="198"/>
      <c r="S50" s="198"/>
    </row>
    <row r="51" spans="1:19" ht="15">
      <c r="A51" s="237"/>
      <c r="B51" s="238"/>
      <c r="C51" s="239" t="s">
        <v>36</v>
      </c>
      <c r="D51" s="239" t="s">
        <v>25</v>
      </c>
      <c r="E51" s="239">
        <v>0.18</v>
      </c>
      <c r="F51" s="239">
        <f>E51*F49</f>
        <v>13.86</v>
      </c>
      <c r="G51" s="239"/>
      <c r="H51" s="239"/>
      <c r="I51" s="239"/>
      <c r="J51" s="239"/>
      <c r="K51" s="239"/>
      <c r="L51" s="240">
        <f t="shared" ref="L51" si="51">K51*F51</f>
        <v>0</v>
      </c>
      <c r="M51" s="240">
        <f t="shared" si="50"/>
        <v>0</v>
      </c>
      <c r="N51" s="198"/>
      <c r="O51" s="198"/>
      <c r="P51" s="198"/>
      <c r="Q51" s="198"/>
      <c r="R51" s="198"/>
      <c r="S51" s="198"/>
    </row>
    <row r="52" spans="1:19" ht="30">
      <c r="A52" s="237"/>
      <c r="B52" s="238"/>
      <c r="C52" s="239" t="s">
        <v>903</v>
      </c>
      <c r="D52" s="239" t="s">
        <v>19</v>
      </c>
      <c r="E52" s="239"/>
      <c r="F52" s="239">
        <v>48</v>
      </c>
      <c r="G52" s="240"/>
      <c r="H52" s="240">
        <f t="shared" ref="H52:H54" si="52">G52*F52</f>
        <v>0</v>
      </c>
      <c r="I52" s="239"/>
      <c r="J52" s="239"/>
      <c r="K52" s="239"/>
      <c r="L52" s="239"/>
      <c r="M52" s="240">
        <f t="shared" si="50"/>
        <v>0</v>
      </c>
      <c r="N52" s="198"/>
      <c r="O52" s="198"/>
      <c r="P52" s="198"/>
      <c r="Q52" s="198"/>
      <c r="R52" s="198"/>
      <c r="S52" s="198"/>
    </row>
    <row r="53" spans="1:19" ht="30">
      <c r="A53" s="237"/>
      <c r="B53" s="238"/>
      <c r="C53" s="239" t="s">
        <v>903</v>
      </c>
      <c r="D53" s="239" t="s">
        <v>19</v>
      </c>
      <c r="E53" s="239"/>
      <c r="F53" s="239">
        <v>29</v>
      </c>
      <c r="G53" s="240"/>
      <c r="H53" s="240">
        <f t="shared" ref="H53" si="53">G53*F53</f>
        <v>0</v>
      </c>
      <c r="I53" s="239"/>
      <c r="J53" s="239"/>
      <c r="K53" s="239"/>
      <c r="L53" s="239"/>
      <c r="M53" s="240">
        <f t="shared" ref="M53" si="54">L53+J53+H53</f>
        <v>0</v>
      </c>
      <c r="N53" s="198"/>
      <c r="O53" s="198"/>
      <c r="P53" s="198"/>
      <c r="Q53" s="198"/>
      <c r="R53" s="198"/>
      <c r="S53" s="198"/>
    </row>
    <row r="54" spans="1:19" ht="15">
      <c r="A54" s="237"/>
      <c r="B54" s="238"/>
      <c r="C54" s="239" t="s">
        <v>21</v>
      </c>
      <c r="D54" s="239" t="s">
        <v>25</v>
      </c>
      <c r="E54" s="239">
        <v>0.91</v>
      </c>
      <c r="F54" s="239">
        <f>E54*F49</f>
        <v>70.070000000000007</v>
      </c>
      <c r="G54" s="239"/>
      <c r="H54" s="240">
        <f t="shared" si="52"/>
        <v>0</v>
      </c>
      <c r="I54" s="239"/>
      <c r="J54" s="239"/>
      <c r="K54" s="239"/>
      <c r="L54" s="239"/>
      <c r="M54" s="240">
        <f t="shared" si="50"/>
        <v>0</v>
      </c>
      <c r="N54" s="198"/>
      <c r="O54" s="198"/>
      <c r="P54" s="198"/>
      <c r="Q54" s="198"/>
      <c r="R54" s="198"/>
      <c r="S54" s="198"/>
    </row>
    <row r="55" spans="1:19" ht="30">
      <c r="A55" s="237">
        <v>14</v>
      </c>
      <c r="B55" s="238" t="s">
        <v>904</v>
      </c>
      <c r="C55" s="237" t="s">
        <v>905</v>
      </c>
      <c r="D55" s="237" t="s">
        <v>19</v>
      </c>
      <c r="E55" s="239"/>
      <c r="F55" s="239">
        <v>76</v>
      </c>
      <c r="G55" s="239"/>
      <c r="H55" s="239"/>
      <c r="I55" s="239"/>
      <c r="J55" s="239"/>
      <c r="K55" s="239"/>
      <c r="L55" s="239"/>
      <c r="M55" s="239"/>
      <c r="N55" s="198"/>
      <c r="O55" s="198"/>
      <c r="P55" s="198"/>
      <c r="Q55" s="198"/>
      <c r="R55" s="198"/>
      <c r="S55" s="198"/>
    </row>
    <row r="56" spans="1:19" ht="15">
      <c r="A56" s="237"/>
      <c r="B56" s="238"/>
      <c r="C56" s="239" t="s">
        <v>180</v>
      </c>
      <c r="D56" s="239" t="s">
        <v>19</v>
      </c>
      <c r="E56" s="239">
        <v>1</v>
      </c>
      <c r="F56" s="239">
        <f>E56*F55</f>
        <v>76</v>
      </c>
      <c r="G56" s="239"/>
      <c r="H56" s="239"/>
      <c r="I56" s="239"/>
      <c r="J56" s="239">
        <f t="shared" ref="J56" si="55">I56*F56</f>
        <v>0</v>
      </c>
      <c r="K56" s="239"/>
      <c r="L56" s="239"/>
      <c r="M56" s="239">
        <f t="shared" ref="M56:M59" si="56">L56+J56+H56</f>
        <v>0</v>
      </c>
      <c r="N56" s="198"/>
      <c r="O56" s="198"/>
      <c r="P56" s="198"/>
      <c r="Q56" s="198"/>
      <c r="R56" s="198"/>
      <c r="S56" s="198"/>
    </row>
    <row r="57" spans="1:19" ht="15">
      <c r="A57" s="237"/>
      <c r="B57" s="238"/>
      <c r="C57" s="239" t="s">
        <v>36</v>
      </c>
      <c r="D57" s="239" t="s">
        <v>25</v>
      </c>
      <c r="E57" s="239">
        <v>0.1</v>
      </c>
      <c r="F57" s="239">
        <f>E57*F55</f>
        <v>7.6000000000000005</v>
      </c>
      <c r="G57" s="239"/>
      <c r="H57" s="239"/>
      <c r="I57" s="239"/>
      <c r="J57" s="239"/>
      <c r="K57" s="239"/>
      <c r="L57" s="240">
        <f t="shared" ref="L57" si="57">K57*F57</f>
        <v>0</v>
      </c>
      <c r="M57" s="240">
        <f t="shared" si="56"/>
        <v>0</v>
      </c>
      <c r="N57" s="198"/>
      <c r="O57" s="198"/>
      <c r="P57" s="198"/>
      <c r="Q57" s="198"/>
      <c r="R57" s="198"/>
      <c r="S57" s="198"/>
    </row>
    <row r="58" spans="1:19" ht="30">
      <c r="A58" s="237"/>
      <c r="B58" s="238"/>
      <c r="C58" s="239" t="s">
        <v>905</v>
      </c>
      <c r="D58" s="239" t="s">
        <v>19</v>
      </c>
      <c r="E58" s="239">
        <v>1</v>
      </c>
      <c r="F58" s="239">
        <f>E58*F55</f>
        <v>76</v>
      </c>
      <c r="G58" s="240"/>
      <c r="H58" s="240">
        <f t="shared" ref="H58:H59" si="58">G58*F58</f>
        <v>0</v>
      </c>
      <c r="I58" s="239"/>
      <c r="J58" s="239"/>
      <c r="K58" s="239"/>
      <c r="L58" s="239"/>
      <c r="M58" s="240">
        <f t="shared" si="56"/>
        <v>0</v>
      </c>
      <c r="N58" s="198"/>
      <c r="O58" s="198"/>
      <c r="P58" s="198"/>
      <c r="Q58" s="198"/>
      <c r="R58" s="198"/>
      <c r="S58" s="198"/>
    </row>
    <row r="59" spans="1:19" ht="15">
      <c r="A59" s="237"/>
      <c r="B59" s="238"/>
      <c r="C59" s="239" t="s">
        <v>21</v>
      </c>
      <c r="D59" s="239" t="s">
        <v>25</v>
      </c>
      <c r="E59" s="239">
        <v>0.38</v>
      </c>
      <c r="F59" s="239">
        <f>E59*F55</f>
        <v>28.88</v>
      </c>
      <c r="G59" s="239"/>
      <c r="H59" s="240">
        <f t="shared" si="58"/>
        <v>0</v>
      </c>
      <c r="I59" s="239"/>
      <c r="J59" s="239"/>
      <c r="K59" s="239"/>
      <c r="L59" s="239"/>
      <c r="M59" s="240">
        <f t="shared" si="56"/>
        <v>0</v>
      </c>
      <c r="N59" s="198"/>
      <c r="O59" s="198"/>
      <c r="P59" s="198"/>
      <c r="Q59" s="198"/>
      <c r="R59" s="198"/>
      <c r="S59" s="198"/>
    </row>
    <row r="60" spans="1:19" ht="30">
      <c r="A60" s="237">
        <v>15</v>
      </c>
      <c r="B60" s="238" t="s">
        <v>901</v>
      </c>
      <c r="C60" s="237" t="s">
        <v>907</v>
      </c>
      <c r="D60" s="237" t="s">
        <v>19</v>
      </c>
      <c r="E60" s="239"/>
      <c r="F60" s="239">
        <v>14</v>
      </c>
      <c r="G60" s="239"/>
      <c r="H60" s="239"/>
      <c r="I60" s="239"/>
      <c r="J60" s="239"/>
      <c r="K60" s="239"/>
      <c r="L60" s="239"/>
      <c r="M60" s="239"/>
      <c r="N60" s="198"/>
      <c r="O60" s="198"/>
      <c r="P60" s="198"/>
      <c r="Q60" s="198"/>
      <c r="R60" s="198"/>
      <c r="S60" s="198"/>
    </row>
    <row r="61" spans="1:19" ht="15">
      <c r="A61" s="237"/>
      <c r="B61" s="238"/>
      <c r="C61" s="239" t="s">
        <v>180</v>
      </c>
      <c r="D61" s="239" t="s">
        <v>19</v>
      </c>
      <c r="E61" s="239">
        <v>1</v>
      </c>
      <c r="F61" s="239">
        <f>E61*F60</f>
        <v>14</v>
      </c>
      <c r="G61" s="239"/>
      <c r="H61" s="239"/>
      <c r="I61" s="239"/>
      <c r="J61" s="239">
        <f t="shared" ref="J61" si="59">I61*F61</f>
        <v>0</v>
      </c>
      <c r="K61" s="239"/>
      <c r="L61" s="239"/>
      <c r="M61" s="239">
        <f t="shared" ref="M61:M78" si="60">L61+J61+H61</f>
        <v>0</v>
      </c>
      <c r="N61" s="198"/>
      <c r="O61" s="198"/>
      <c r="P61" s="198"/>
      <c r="Q61" s="198"/>
      <c r="R61" s="198"/>
      <c r="S61" s="198"/>
    </row>
    <row r="62" spans="1:19" ht="15">
      <c r="A62" s="237"/>
      <c r="B62" s="238"/>
      <c r="C62" s="239" t="s">
        <v>36</v>
      </c>
      <c r="D62" s="239" t="s">
        <v>25</v>
      </c>
      <c r="E62" s="239">
        <v>0.18</v>
      </c>
      <c r="F62" s="239">
        <f>E62*F60</f>
        <v>2.52</v>
      </c>
      <c r="G62" s="239"/>
      <c r="H62" s="239"/>
      <c r="I62" s="239"/>
      <c r="J62" s="239"/>
      <c r="K62" s="239"/>
      <c r="L62" s="240">
        <f t="shared" ref="L62" si="61">K62*F62</f>
        <v>0</v>
      </c>
      <c r="M62" s="240">
        <f t="shared" si="60"/>
        <v>0</v>
      </c>
      <c r="N62" s="198"/>
      <c r="O62" s="198"/>
      <c r="P62" s="198"/>
      <c r="Q62" s="198"/>
      <c r="R62" s="198"/>
      <c r="S62" s="198"/>
    </row>
    <row r="63" spans="1:19" ht="30">
      <c r="A63" s="237"/>
      <c r="B63" s="238"/>
      <c r="C63" s="239" t="s">
        <v>908</v>
      </c>
      <c r="D63" s="239" t="s">
        <v>19</v>
      </c>
      <c r="E63" s="239">
        <v>1</v>
      </c>
      <c r="F63" s="239">
        <v>4</v>
      </c>
      <c r="G63" s="240"/>
      <c r="H63" s="240">
        <f t="shared" ref="H63:H67" si="62">G63*F63</f>
        <v>0</v>
      </c>
      <c r="I63" s="239"/>
      <c r="J63" s="239"/>
      <c r="K63" s="239"/>
      <c r="L63" s="239"/>
      <c r="M63" s="240">
        <f t="shared" ref="M63:M67" si="63">L63+J63+H63</f>
        <v>0</v>
      </c>
      <c r="N63" s="198"/>
      <c r="O63" s="198"/>
      <c r="P63" s="198"/>
      <c r="Q63" s="198"/>
      <c r="R63" s="198"/>
      <c r="S63" s="198"/>
    </row>
    <row r="64" spans="1:19" ht="30">
      <c r="A64" s="237"/>
      <c r="B64" s="238"/>
      <c r="C64" s="239" t="s">
        <v>909</v>
      </c>
      <c r="D64" s="239" t="s">
        <v>19</v>
      </c>
      <c r="E64" s="239">
        <v>1</v>
      </c>
      <c r="F64" s="239">
        <v>2</v>
      </c>
      <c r="G64" s="240"/>
      <c r="H64" s="240">
        <f t="shared" si="62"/>
        <v>0</v>
      </c>
      <c r="I64" s="239"/>
      <c r="J64" s="239"/>
      <c r="K64" s="239"/>
      <c r="L64" s="239"/>
      <c r="M64" s="240">
        <f t="shared" si="63"/>
        <v>0</v>
      </c>
      <c r="N64" s="198"/>
      <c r="O64" s="198"/>
      <c r="P64" s="198"/>
      <c r="Q64" s="198"/>
      <c r="R64" s="198"/>
      <c r="S64" s="198"/>
    </row>
    <row r="65" spans="1:19" ht="30">
      <c r="A65" s="237"/>
      <c r="B65" s="238"/>
      <c r="C65" s="239" t="s">
        <v>910</v>
      </c>
      <c r="D65" s="239" t="s">
        <v>19</v>
      </c>
      <c r="E65" s="239">
        <v>1</v>
      </c>
      <c r="F65" s="239">
        <v>1</v>
      </c>
      <c r="G65" s="240"/>
      <c r="H65" s="240">
        <f t="shared" si="62"/>
        <v>0</v>
      </c>
      <c r="I65" s="239"/>
      <c r="J65" s="239"/>
      <c r="K65" s="239"/>
      <c r="L65" s="239"/>
      <c r="M65" s="240">
        <f t="shared" si="63"/>
        <v>0</v>
      </c>
      <c r="N65" s="198"/>
      <c r="O65" s="198"/>
      <c r="P65" s="198"/>
      <c r="Q65" s="198"/>
      <c r="R65" s="198"/>
      <c r="S65" s="198"/>
    </row>
    <row r="66" spans="1:19" ht="30">
      <c r="A66" s="237"/>
      <c r="B66" s="238"/>
      <c r="C66" s="239" t="s">
        <v>911</v>
      </c>
      <c r="D66" s="239" t="s">
        <v>19</v>
      </c>
      <c r="E66" s="239">
        <v>1</v>
      </c>
      <c r="F66" s="239">
        <v>1</v>
      </c>
      <c r="G66" s="240"/>
      <c r="H66" s="240">
        <f t="shared" si="62"/>
        <v>0</v>
      </c>
      <c r="I66" s="239"/>
      <c r="J66" s="239"/>
      <c r="K66" s="239"/>
      <c r="L66" s="239"/>
      <c r="M66" s="240">
        <f t="shared" si="63"/>
        <v>0</v>
      </c>
      <c r="N66" s="198"/>
      <c r="O66" s="198"/>
      <c r="P66" s="198"/>
      <c r="Q66" s="198"/>
      <c r="R66" s="198"/>
      <c r="S66" s="198"/>
    </row>
    <row r="67" spans="1:19" ht="30">
      <c r="A67" s="237"/>
      <c r="B67" s="238"/>
      <c r="C67" s="239" t="s">
        <v>912</v>
      </c>
      <c r="D67" s="239" t="s">
        <v>19</v>
      </c>
      <c r="E67" s="239">
        <v>1</v>
      </c>
      <c r="F67" s="239">
        <v>1</v>
      </c>
      <c r="G67" s="240"/>
      <c r="H67" s="240">
        <f t="shared" si="62"/>
        <v>0</v>
      </c>
      <c r="I67" s="239"/>
      <c r="J67" s="239"/>
      <c r="K67" s="239"/>
      <c r="L67" s="239"/>
      <c r="M67" s="240">
        <f t="shared" si="63"/>
        <v>0</v>
      </c>
      <c r="N67" s="198"/>
      <c r="O67" s="198"/>
      <c r="P67" s="198"/>
      <c r="Q67" s="198"/>
      <c r="R67" s="198"/>
      <c r="S67" s="198"/>
    </row>
    <row r="68" spans="1:19" ht="30">
      <c r="A68" s="237"/>
      <c r="B68" s="238"/>
      <c r="C68" s="239" t="s">
        <v>913</v>
      </c>
      <c r="D68" s="239" t="s">
        <v>19</v>
      </c>
      <c r="E68" s="239">
        <v>1</v>
      </c>
      <c r="F68" s="239">
        <v>4</v>
      </c>
      <c r="G68" s="240"/>
      <c r="H68" s="240">
        <f t="shared" ref="H68:H78" si="64">G68*F68</f>
        <v>0</v>
      </c>
      <c r="I68" s="239"/>
      <c r="J68" s="239"/>
      <c r="K68" s="239"/>
      <c r="L68" s="239"/>
      <c r="M68" s="240">
        <f t="shared" si="60"/>
        <v>0</v>
      </c>
      <c r="N68" s="198"/>
      <c r="O68" s="198"/>
      <c r="P68" s="198"/>
      <c r="Q68" s="198"/>
      <c r="R68" s="198"/>
      <c r="S68" s="198"/>
    </row>
    <row r="69" spans="1:19" ht="30">
      <c r="A69" s="237"/>
      <c r="B69" s="238"/>
      <c r="C69" s="239" t="s">
        <v>914</v>
      </c>
      <c r="D69" s="239" t="s">
        <v>19</v>
      </c>
      <c r="E69" s="239">
        <v>1</v>
      </c>
      <c r="F69" s="239">
        <v>2</v>
      </c>
      <c r="G69" s="240"/>
      <c r="H69" s="240">
        <f t="shared" si="64"/>
        <v>0</v>
      </c>
      <c r="I69" s="239"/>
      <c r="J69" s="239"/>
      <c r="K69" s="239"/>
      <c r="L69" s="239"/>
      <c r="M69" s="240">
        <f t="shared" si="60"/>
        <v>0</v>
      </c>
      <c r="N69" s="198"/>
      <c r="O69" s="198"/>
      <c r="P69" s="198"/>
      <c r="Q69" s="198"/>
      <c r="R69" s="198"/>
      <c r="S69" s="198"/>
    </row>
    <row r="70" spans="1:19" ht="30">
      <c r="A70" s="237"/>
      <c r="B70" s="238"/>
      <c r="C70" s="239" t="s">
        <v>915</v>
      </c>
      <c r="D70" s="239" t="s">
        <v>19</v>
      </c>
      <c r="E70" s="239">
        <v>1</v>
      </c>
      <c r="F70" s="239">
        <v>1</v>
      </c>
      <c r="G70" s="240"/>
      <c r="H70" s="240">
        <f t="shared" si="64"/>
        <v>0</v>
      </c>
      <c r="I70" s="239"/>
      <c r="J70" s="239"/>
      <c r="K70" s="239"/>
      <c r="L70" s="239"/>
      <c r="M70" s="240">
        <f t="shared" si="60"/>
        <v>0</v>
      </c>
      <c r="N70" s="198"/>
      <c r="O70" s="198"/>
      <c r="P70" s="198"/>
      <c r="Q70" s="198"/>
      <c r="R70" s="198"/>
      <c r="S70" s="198"/>
    </row>
    <row r="71" spans="1:19" ht="30">
      <c r="A71" s="237"/>
      <c r="B71" s="238"/>
      <c r="C71" s="239" t="s">
        <v>916</v>
      </c>
      <c r="D71" s="239" t="s">
        <v>19</v>
      </c>
      <c r="E71" s="239">
        <v>1</v>
      </c>
      <c r="F71" s="239">
        <v>1</v>
      </c>
      <c r="G71" s="240"/>
      <c r="H71" s="240">
        <f t="shared" si="64"/>
        <v>0</v>
      </c>
      <c r="I71" s="239"/>
      <c r="J71" s="239"/>
      <c r="K71" s="239"/>
      <c r="L71" s="239"/>
      <c r="M71" s="240">
        <f t="shared" si="60"/>
        <v>0</v>
      </c>
      <c r="N71" s="198"/>
      <c r="O71" s="198"/>
      <c r="P71" s="198"/>
      <c r="Q71" s="198"/>
      <c r="R71" s="198"/>
      <c r="S71" s="198"/>
    </row>
    <row r="72" spans="1:19" ht="30">
      <c r="A72" s="237"/>
      <c r="B72" s="238"/>
      <c r="C72" s="239" t="s">
        <v>917</v>
      </c>
      <c r="D72" s="239" t="s">
        <v>19</v>
      </c>
      <c r="E72" s="239">
        <v>1</v>
      </c>
      <c r="F72" s="239">
        <v>1</v>
      </c>
      <c r="G72" s="240"/>
      <c r="H72" s="240">
        <f t="shared" si="64"/>
        <v>0</v>
      </c>
      <c r="I72" s="239"/>
      <c r="J72" s="239"/>
      <c r="K72" s="239"/>
      <c r="L72" s="239"/>
      <c r="M72" s="240">
        <f t="shared" si="60"/>
        <v>0</v>
      </c>
      <c r="N72" s="198"/>
      <c r="O72" s="198"/>
      <c r="P72" s="198"/>
      <c r="Q72" s="198"/>
      <c r="R72" s="198"/>
      <c r="S72" s="198"/>
    </row>
    <row r="73" spans="1:19" ht="15">
      <c r="A73" s="237"/>
      <c r="B73" s="238"/>
      <c r="C73" s="239" t="s">
        <v>21</v>
      </c>
      <c r="D73" s="239" t="s">
        <v>25</v>
      </c>
      <c r="E73" s="239">
        <v>0.91</v>
      </c>
      <c r="F73" s="239">
        <f>E73*F60</f>
        <v>12.74</v>
      </c>
      <c r="G73" s="239"/>
      <c r="H73" s="240">
        <f t="shared" si="64"/>
        <v>0</v>
      </c>
      <c r="I73" s="239"/>
      <c r="J73" s="239"/>
      <c r="K73" s="239"/>
      <c r="L73" s="239"/>
      <c r="M73" s="240">
        <f t="shared" si="60"/>
        <v>0</v>
      </c>
      <c r="N73" s="198">
        <f>SUM(M9:M73)</f>
        <v>0</v>
      </c>
      <c r="O73" s="198"/>
      <c r="P73" s="198"/>
      <c r="Q73" s="198"/>
      <c r="R73" s="198"/>
      <c r="S73" s="198"/>
    </row>
    <row r="74" spans="1:19" ht="15">
      <c r="A74" s="237">
        <v>16</v>
      </c>
      <c r="B74" s="238"/>
      <c r="C74" s="239" t="s">
        <v>919</v>
      </c>
      <c r="D74" s="239" t="s">
        <v>19</v>
      </c>
      <c r="E74" s="239"/>
      <c r="F74" s="239">
        <v>2</v>
      </c>
      <c r="G74" s="240"/>
      <c r="H74" s="240">
        <f t="shared" si="64"/>
        <v>0</v>
      </c>
      <c r="I74" s="239"/>
      <c r="J74" s="239"/>
      <c r="K74" s="239"/>
      <c r="L74" s="239"/>
      <c r="M74" s="240">
        <f t="shared" si="60"/>
        <v>0</v>
      </c>
      <c r="N74" s="198"/>
      <c r="O74" s="198"/>
      <c r="P74" s="198"/>
      <c r="Q74" s="198"/>
      <c r="R74" s="198"/>
      <c r="S74" s="198"/>
    </row>
    <row r="75" spans="1:19" ht="15">
      <c r="A75" s="237">
        <v>17</v>
      </c>
      <c r="B75" s="238"/>
      <c r="C75" s="239" t="s">
        <v>918</v>
      </c>
      <c r="D75" s="239" t="s">
        <v>19</v>
      </c>
      <c r="E75" s="239"/>
      <c r="F75" s="239">
        <v>5</v>
      </c>
      <c r="G75" s="240"/>
      <c r="H75" s="240">
        <f t="shared" si="64"/>
        <v>0</v>
      </c>
      <c r="I75" s="239"/>
      <c r="J75" s="239"/>
      <c r="K75" s="239"/>
      <c r="L75" s="239"/>
      <c r="M75" s="240">
        <f t="shared" si="60"/>
        <v>0</v>
      </c>
      <c r="N75" s="198"/>
      <c r="O75" s="198"/>
      <c r="P75" s="198"/>
      <c r="Q75" s="198"/>
      <c r="R75" s="198"/>
      <c r="S75" s="198"/>
    </row>
    <row r="76" spans="1:19" ht="15">
      <c r="A76" s="237">
        <v>18</v>
      </c>
      <c r="B76" s="238"/>
      <c r="C76" s="239" t="s">
        <v>920</v>
      </c>
      <c r="D76" s="239" t="s">
        <v>19</v>
      </c>
      <c r="E76" s="239"/>
      <c r="F76" s="239">
        <v>1</v>
      </c>
      <c r="G76" s="240"/>
      <c r="H76" s="240">
        <f t="shared" si="64"/>
        <v>0</v>
      </c>
      <c r="I76" s="239"/>
      <c r="J76" s="239"/>
      <c r="K76" s="239"/>
      <c r="L76" s="239"/>
      <c r="M76" s="240">
        <f t="shared" si="60"/>
        <v>0</v>
      </c>
      <c r="N76" s="198"/>
      <c r="O76" s="198"/>
      <c r="P76" s="198"/>
      <c r="Q76" s="198"/>
      <c r="R76" s="198"/>
      <c r="S76" s="198"/>
    </row>
    <row r="77" spans="1:19" ht="15">
      <c r="A77" s="237">
        <v>19</v>
      </c>
      <c r="B77" s="238"/>
      <c r="C77" s="239" t="s">
        <v>921</v>
      </c>
      <c r="D77" s="239" t="s">
        <v>19</v>
      </c>
      <c r="E77" s="239"/>
      <c r="F77" s="239">
        <v>2</v>
      </c>
      <c r="G77" s="240"/>
      <c r="H77" s="240">
        <f t="shared" si="64"/>
        <v>0</v>
      </c>
      <c r="I77" s="239"/>
      <c r="J77" s="239"/>
      <c r="K77" s="239"/>
      <c r="L77" s="239"/>
      <c r="M77" s="240">
        <f t="shared" si="60"/>
        <v>0</v>
      </c>
      <c r="N77" s="198"/>
      <c r="O77" s="198"/>
      <c r="P77" s="198"/>
      <c r="Q77" s="198"/>
      <c r="R77" s="198"/>
      <c r="S77" s="198"/>
    </row>
    <row r="78" spans="1:19" ht="15">
      <c r="A78" s="237">
        <v>20</v>
      </c>
      <c r="B78" s="238"/>
      <c r="C78" s="239" t="s">
        <v>922</v>
      </c>
      <c r="D78" s="239" t="s">
        <v>19</v>
      </c>
      <c r="E78" s="239"/>
      <c r="F78" s="239">
        <v>1</v>
      </c>
      <c r="G78" s="240"/>
      <c r="H78" s="240">
        <f t="shared" si="64"/>
        <v>0</v>
      </c>
      <c r="I78" s="239"/>
      <c r="J78" s="239"/>
      <c r="K78" s="239"/>
      <c r="L78" s="239"/>
      <c r="M78" s="240">
        <f t="shared" si="60"/>
        <v>0</v>
      </c>
      <c r="N78" s="198"/>
      <c r="O78" s="198"/>
      <c r="P78" s="198"/>
      <c r="Q78" s="198"/>
      <c r="R78" s="198"/>
      <c r="S78" s="198"/>
    </row>
    <row r="79" spans="1:19" ht="15">
      <c r="A79" s="237">
        <v>21</v>
      </c>
      <c r="B79" s="238"/>
      <c r="C79" s="239" t="s">
        <v>923</v>
      </c>
      <c r="D79" s="239" t="s">
        <v>19</v>
      </c>
      <c r="E79" s="239"/>
      <c r="F79" s="239">
        <v>1</v>
      </c>
      <c r="G79" s="240"/>
      <c r="H79" s="240">
        <f t="shared" ref="H79:H84" si="65">G79*F79</f>
        <v>0</v>
      </c>
      <c r="I79" s="239"/>
      <c r="J79" s="239"/>
      <c r="K79" s="239"/>
      <c r="L79" s="239"/>
      <c r="M79" s="240">
        <f t="shared" ref="M79:M89" si="66">L79+J79+H79</f>
        <v>0</v>
      </c>
      <c r="N79" s="198"/>
      <c r="O79" s="198"/>
      <c r="P79" s="198"/>
      <c r="Q79" s="198"/>
      <c r="R79" s="198"/>
      <c r="S79" s="198"/>
    </row>
    <row r="80" spans="1:19" ht="30">
      <c r="A80" s="237">
        <v>22</v>
      </c>
      <c r="B80" s="238"/>
      <c r="C80" s="239" t="s">
        <v>957</v>
      </c>
      <c r="D80" s="239" t="s">
        <v>19</v>
      </c>
      <c r="E80" s="239"/>
      <c r="F80" s="239">
        <v>4</v>
      </c>
      <c r="G80" s="240"/>
      <c r="H80" s="240">
        <f t="shared" si="65"/>
        <v>0</v>
      </c>
      <c r="I80" s="239"/>
      <c r="J80" s="239"/>
      <c r="K80" s="239"/>
      <c r="L80" s="239"/>
      <c r="M80" s="240">
        <f t="shared" si="66"/>
        <v>0</v>
      </c>
      <c r="N80" s="198"/>
      <c r="O80" s="198"/>
      <c r="P80" s="198"/>
      <c r="Q80" s="198"/>
      <c r="R80" s="198"/>
      <c r="S80" s="198"/>
    </row>
    <row r="81" spans="1:19" ht="30">
      <c r="A81" s="237">
        <v>23</v>
      </c>
      <c r="B81" s="238"/>
      <c r="C81" s="239" t="s">
        <v>958</v>
      </c>
      <c r="D81" s="239" t="s">
        <v>19</v>
      </c>
      <c r="E81" s="239"/>
      <c r="F81" s="239">
        <v>1</v>
      </c>
      <c r="G81" s="240"/>
      <c r="H81" s="240">
        <f t="shared" si="65"/>
        <v>0</v>
      </c>
      <c r="I81" s="239"/>
      <c r="J81" s="239"/>
      <c r="K81" s="239"/>
      <c r="L81" s="239"/>
      <c r="M81" s="240">
        <f t="shared" si="66"/>
        <v>0</v>
      </c>
      <c r="N81" s="198"/>
      <c r="O81" s="198"/>
      <c r="P81" s="198"/>
      <c r="Q81" s="198"/>
      <c r="R81" s="198"/>
      <c r="S81" s="198"/>
    </row>
    <row r="82" spans="1:19" ht="30">
      <c r="A82" s="237">
        <v>24</v>
      </c>
      <c r="B82" s="238"/>
      <c r="C82" s="239" t="s">
        <v>959</v>
      </c>
      <c r="D82" s="239" t="s">
        <v>19</v>
      </c>
      <c r="E82" s="239"/>
      <c r="F82" s="239">
        <v>4</v>
      </c>
      <c r="G82" s="240"/>
      <c r="H82" s="240">
        <f t="shared" si="65"/>
        <v>0</v>
      </c>
      <c r="I82" s="239"/>
      <c r="J82" s="239"/>
      <c r="K82" s="239"/>
      <c r="L82" s="239"/>
      <c r="M82" s="240">
        <f t="shared" si="66"/>
        <v>0</v>
      </c>
      <c r="N82" s="198"/>
      <c r="O82" s="198"/>
      <c r="P82" s="198"/>
      <c r="Q82" s="198"/>
      <c r="R82" s="198"/>
      <c r="S82" s="198"/>
    </row>
    <row r="83" spans="1:19" ht="30">
      <c r="A83" s="237">
        <v>25</v>
      </c>
      <c r="B83" s="238"/>
      <c r="C83" s="239" t="s">
        <v>960</v>
      </c>
      <c r="D83" s="239" t="s">
        <v>19</v>
      </c>
      <c r="E83" s="239"/>
      <c r="F83" s="239">
        <v>1</v>
      </c>
      <c r="G83" s="240"/>
      <c r="H83" s="240">
        <f t="shared" si="65"/>
        <v>0</v>
      </c>
      <c r="I83" s="239"/>
      <c r="J83" s="239"/>
      <c r="K83" s="239"/>
      <c r="L83" s="239"/>
      <c r="M83" s="240">
        <f t="shared" si="66"/>
        <v>0</v>
      </c>
      <c r="N83" s="198"/>
      <c r="O83" s="198"/>
      <c r="P83" s="198"/>
      <c r="Q83" s="198"/>
      <c r="R83" s="198"/>
      <c r="S83" s="198"/>
    </row>
    <row r="84" spans="1:19" ht="30">
      <c r="A84" s="237">
        <v>26</v>
      </c>
      <c r="B84" s="238"/>
      <c r="C84" s="239" t="s">
        <v>961</v>
      </c>
      <c r="D84" s="239" t="s">
        <v>19</v>
      </c>
      <c r="E84" s="239"/>
      <c r="F84" s="239">
        <v>2</v>
      </c>
      <c r="G84" s="240"/>
      <c r="H84" s="240">
        <f t="shared" si="65"/>
        <v>0</v>
      </c>
      <c r="I84" s="239"/>
      <c r="J84" s="239"/>
      <c r="K84" s="239"/>
      <c r="L84" s="239"/>
      <c r="M84" s="240">
        <f t="shared" si="66"/>
        <v>0</v>
      </c>
      <c r="N84" s="198"/>
      <c r="O84" s="198"/>
      <c r="P84" s="198"/>
      <c r="Q84" s="198"/>
      <c r="R84" s="198"/>
      <c r="S84" s="198"/>
    </row>
    <row r="85" spans="1:19" ht="30">
      <c r="A85" s="237">
        <v>27</v>
      </c>
      <c r="B85" s="238"/>
      <c r="C85" s="239" t="s">
        <v>962</v>
      </c>
      <c r="D85" s="239" t="s">
        <v>19</v>
      </c>
      <c r="E85" s="239"/>
      <c r="F85" s="239">
        <v>1</v>
      </c>
      <c r="G85" s="240"/>
      <c r="H85" s="240">
        <f t="shared" ref="H85:H88" si="67">G85*F85</f>
        <v>0</v>
      </c>
      <c r="I85" s="239"/>
      <c r="J85" s="239"/>
      <c r="K85" s="239"/>
      <c r="L85" s="239"/>
      <c r="M85" s="240">
        <f t="shared" ref="M85:M88" si="68">L85+J85+H85</f>
        <v>0</v>
      </c>
      <c r="N85" s="198"/>
      <c r="O85" s="198"/>
      <c r="P85" s="198"/>
      <c r="Q85" s="198"/>
      <c r="R85" s="198"/>
      <c r="S85" s="198"/>
    </row>
    <row r="86" spans="1:19" ht="30">
      <c r="A86" s="237">
        <v>28</v>
      </c>
      <c r="B86" s="238"/>
      <c r="C86" s="239" t="s">
        <v>963</v>
      </c>
      <c r="D86" s="239" t="s">
        <v>19</v>
      </c>
      <c r="E86" s="239"/>
      <c r="F86" s="239">
        <v>1</v>
      </c>
      <c r="G86" s="240"/>
      <c r="H86" s="240">
        <f t="shared" si="67"/>
        <v>0</v>
      </c>
      <c r="I86" s="239"/>
      <c r="J86" s="239"/>
      <c r="K86" s="239"/>
      <c r="L86" s="239"/>
      <c r="M86" s="240">
        <f t="shared" si="68"/>
        <v>0</v>
      </c>
      <c r="N86" s="198"/>
      <c r="O86" s="198"/>
      <c r="P86" s="198"/>
      <c r="Q86" s="198"/>
      <c r="R86" s="198"/>
      <c r="S86" s="198"/>
    </row>
    <row r="87" spans="1:19" ht="30">
      <c r="A87" s="237">
        <v>29</v>
      </c>
      <c r="B87" s="238"/>
      <c r="C87" s="239" t="s">
        <v>964</v>
      </c>
      <c r="D87" s="239" t="s">
        <v>19</v>
      </c>
      <c r="E87" s="239"/>
      <c r="F87" s="239">
        <v>1</v>
      </c>
      <c r="G87" s="240"/>
      <c r="H87" s="240">
        <f t="shared" si="67"/>
        <v>0</v>
      </c>
      <c r="I87" s="239"/>
      <c r="J87" s="239"/>
      <c r="K87" s="239"/>
      <c r="L87" s="239"/>
      <c r="M87" s="240">
        <f t="shared" si="68"/>
        <v>0</v>
      </c>
      <c r="N87" s="198"/>
      <c r="O87" s="198"/>
      <c r="P87" s="198"/>
      <c r="Q87" s="198"/>
      <c r="R87" s="198"/>
      <c r="S87" s="198"/>
    </row>
    <row r="88" spans="1:19" ht="30">
      <c r="A88" s="237">
        <v>30</v>
      </c>
      <c r="B88" s="238"/>
      <c r="C88" s="239" t="s">
        <v>965</v>
      </c>
      <c r="D88" s="239" t="s">
        <v>19</v>
      </c>
      <c r="E88" s="239"/>
      <c r="F88" s="239">
        <v>1</v>
      </c>
      <c r="G88" s="240"/>
      <c r="H88" s="240">
        <f t="shared" si="67"/>
        <v>0</v>
      </c>
      <c r="I88" s="239"/>
      <c r="J88" s="239"/>
      <c r="K88" s="239"/>
      <c r="L88" s="239"/>
      <c r="M88" s="240">
        <f t="shared" si="68"/>
        <v>0</v>
      </c>
      <c r="N88" s="198"/>
      <c r="O88" s="198"/>
      <c r="P88" s="198"/>
      <c r="Q88" s="198"/>
      <c r="R88" s="198"/>
      <c r="S88" s="198"/>
    </row>
    <row r="89" spans="1:19" ht="15">
      <c r="A89" s="237">
        <v>32</v>
      </c>
      <c r="B89" s="238"/>
      <c r="C89" s="239" t="s">
        <v>924</v>
      </c>
      <c r="D89" s="399">
        <v>0.4</v>
      </c>
      <c r="E89" s="239"/>
      <c r="F89" s="239"/>
      <c r="G89" s="240"/>
      <c r="H89" s="240">
        <f>SUM(H74:H88)*0.4</f>
        <v>0</v>
      </c>
      <c r="I89" s="239"/>
      <c r="J89" s="239"/>
      <c r="K89" s="239"/>
      <c r="L89" s="239"/>
      <c r="M89" s="240">
        <f t="shared" si="66"/>
        <v>0</v>
      </c>
      <c r="N89" s="198"/>
      <c r="O89" s="198"/>
      <c r="P89" s="198"/>
      <c r="Q89" s="198"/>
      <c r="R89" s="198"/>
      <c r="S89" s="198"/>
    </row>
    <row r="90" spans="1:19" ht="45">
      <c r="A90" s="237">
        <v>33</v>
      </c>
      <c r="B90" s="238" t="s">
        <v>930</v>
      </c>
      <c r="C90" s="237" t="s">
        <v>926</v>
      </c>
      <c r="D90" s="237" t="s">
        <v>19</v>
      </c>
      <c r="E90" s="239"/>
      <c r="F90" s="239">
        <v>1</v>
      </c>
      <c r="G90" s="239"/>
      <c r="H90" s="239"/>
      <c r="I90" s="239"/>
      <c r="J90" s="239"/>
      <c r="K90" s="239"/>
      <c r="L90" s="239"/>
      <c r="M90" s="239"/>
      <c r="N90" s="198"/>
      <c r="O90" s="198"/>
      <c r="P90" s="198"/>
      <c r="Q90" s="198"/>
      <c r="R90" s="198"/>
      <c r="S90" s="198"/>
    </row>
    <row r="91" spans="1:19" ht="15">
      <c r="A91" s="237"/>
      <c r="B91" s="238"/>
      <c r="C91" s="239" t="s">
        <v>180</v>
      </c>
      <c r="D91" s="239" t="s">
        <v>19</v>
      </c>
      <c r="E91" s="239">
        <v>1</v>
      </c>
      <c r="F91" s="239">
        <f>E91*F90</f>
        <v>1</v>
      </c>
      <c r="G91" s="239"/>
      <c r="H91" s="239"/>
      <c r="I91" s="239"/>
      <c r="J91" s="239">
        <f t="shared" ref="J91" si="69">I91*F91</f>
        <v>0</v>
      </c>
      <c r="K91" s="239"/>
      <c r="L91" s="239"/>
      <c r="M91" s="239">
        <f t="shared" ref="M91:M94" si="70">L91+J91+H91</f>
        <v>0</v>
      </c>
      <c r="N91" s="198"/>
      <c r="O91" s="198"/>
      <c r="P91" s="198"/>
      <c r="Q91" s="198"/>
      <c r="R91" s="198"/>
      <c r="S91" s="198"/>
    </row>
    <row r="92" spans="1:19" ht="15">
      <c r="A92" s="237"/>
      <c r="B92" s="238"/>
      <c r="C92" s="239" t="s">
        <v>36</v>
      </c>
      <c r="D92" s="239" t="s">
        <v>25</v>
      </c>
      <c r="E92" s="239">
        <v>8.19</v>
      </c>
      <c r="F92" s="239">
        <f>E92*F90</f>
        <v>8.19</v>
      </c>
      <c r="G92" s="239"/>
      <c r="H92" s="239"/>
      <c r="I92" s="239"/>
      <c r="J92" s="239"/>
      <c r="K92" s="239"/>
      <c r="L92" s="240">
        <f t="shared" ref="L92" si="71">K92*F92</f>
        <v>0</v>
      </c>
      <c r="M92" s="240">
        <f t="shared" si="70"/>
        <v>0</v>
      </c>
      <c r="N92" s="198"/>
      <c r="O92" s="198"/>
      <c r="P92" s="198"/>
      <c r="Q92" s="198"/>
      <c r="R92" s="198"/>
      <c r="S92" s="198"/>
    </row>
    <row r="93" spans="1:19" ht="30">
      <c r="A93" s="237"/>
      <c r="B93" s="238"/>
      <c r="C93" s="239" t="s">
        <v>926</v>
      </c>
      <c r="D93" s="239" t="s">
        <v>19</v>
      </c>
      <c r="E93" s="239"/>
      <c r="F93" s="239">
        <v>1</v>
      </c>
      <c r="G93" s="240"/>
      <c r="H93" s="240">
        <f t="shared" ref="H93:H94" si="72">G93*F93</f>
        <v>0</v>
      </c>
      <c r="I93" s="239"/>
      <c r="J93" s="239"/>
      <c r="K93" s="239"/>
      <c r="L93" s="239"/>
      <c r="M93" s="240">
        <f t="shared" si="70"/>
        <v>0</v>
      </c>
      <c r="N93" s="198"/>
      <c r="O93" s="198"/>
      <c r="P93" s="198"/>
      <c r="Q93" s="198"/>
      <c r="R93" s="198"/>
      <c r="S93" s="198"/>
    </row>
    <row r="94" spans="1:19" ht="15">
      <c r="A94" s="237"/>
      <c r="B94" s="238"/>
      <c r="C94" s="239" t="s">
        <v>21</v>
      </c>
      <c r="D94" s="239" t="s">
        <v>25</v>
      </c>
      <c r="E94" s="239">
        <v>12.5</v>
      </c>
      <c r="F94" s="239">
        <f>E94*F90</f>
        <v>12.5</v>
      </c>
      <c r="G94" s="239"/>
      <c r="H94" s="240">
        <f t="shared" si="72"/>
        <v>0</v>
      </c>
      <c r="I94" s="239"/>
      <c r="J94" s="239"/>
      <c r="K94" s="239"/>
      <c r="L94" s="239"/>
      <c r="M94" s="240">
        <f t="shared" si="70"/>
        <v>0</v>
      </c>
      <c r="N94" s="198"/>
      <c r="O94" s="198"/>
      <c r="P94" s="198"/>
      <c r="Q94" s="198"/>
      <c r="R94" s="198"/>
      <c r="S94" s="198"/>
    </row>
    <row r="95" spans="1:19" ht="45">
      <c r="A95" s="237">
        <v>34</v>
      </c>
      <c r="B95" s="238" t="s">
        <v>930</v>
      </c>
      <c r="C95" s="237" t="s">
        <v>927</v>
      </c>
      <c r="D95" s="237" t="s">
        <v>19</v>
      </c>
      <c r="E95" s="239"/>
      <c r="F95" s="239">
        <v>1</v>
      </c>
      <c r="G95" s="239"/>
      <c r="H95" s="239"/>
      <c r="I95" s="239"/>
      <c r="J95" s="239"/>
      <c r="K95" s="239"/>
      <c r="L95" s="239"/>
      <c r="M95" s="239"/>
      <c r="N95" s="198"/>
      <c r="O95" s="198"/>
      <c r="P95" s="198"/>
      <c r="Q95" s="198"/>
      <c r="R95" s="198"/>
      <c r="S95" s="198"/>
    </row>
    <row r="96" spans="1:19" ht="15">
      <c r="A96" s="237"/>
      <c r="B96" s="238"/>
      <c r="C96" s="239" t="s">
        <v>180</v>
      </c>
      <c r="D96" s="239" t="s">
        <v>19</v>
      </c>
      <c r="E96" s="239">
        <v>1</v>
      </c>
      <c r="F96" s="239">
        <f>E96*F95</f>
        <v>1</v>
      </c>
      <c r="G96" s="239"/>
      <c r="H96" s="239"/>
      <c r="I96" s="239"/>
      <c r="J96" s="239">
        <f t="shared" ref="J96" si="73">I96*F96</f>
        <v>0</v>
      </c>
      <c r="K96" s="239"/>
      <c r="L96" s="239"/>
      <c r="M96" s="239">
        <f t="shared" ref="M96:M99" si="74">L96+J96+H96</f>
        <v>0</v>
      </c>
      <c r="N96" s="198"/>
      <c r="O96" s="198"/>
      <c r="P96" s="198"/>
      <c r="Q96" s="198"/>
      <c r="R96" s="198"/>
      <c r="S96" s="198"/>
    </row>
    <row r="97" spans="1:19" ht="15">
      <c r="A97" s="237"/>
      <c r="B97" s="238"/>
      <c r="C97" s="239" t="s">
        <v>36</v>
      </c>
      <c r="D97" s="239" t="s">
        <v>25</v>
      </c>
      <c r="E97" s="239">
        <v>8.19</v>
      </c>
      <c r="F97" s="239">
        <f>E97*F95</f>
        <v>8.19</v>
      </c>
      <c r="G97" s="239"/>
      <c r="H97" s="239"/>
      <c r="I97" s="239"/>
      <c r="J97" s="239"/>
      <c r="K97" s="239"/>
      <c r="L97" s="240">
        <f t="shared" ref="L97" si="75">K97*F97</f>
        <v>0</v>
      </c>
      <c r="M97" s="240">
        <f t="shared" si="74"/>
        <v>0</v>
      </c>
      <c r="N97" s="198"/>
      <c r="O97" s="198"/>
      <c r="P97" s="198"/>
      <c r="Q97" s="198"/>
      <c r="R97" s="198"/>
      <c r="S97" s="198"/>
    </row>
    <row r="98" spans="1:19" ht="30">
      <c r="A98" s="237"/>
      <c r="B98" s="238"/>
      <c r="C98" s="239" t="s">
        <v>927</v>
      </c>
      <c r="D98" s="239" t="s">
        <v>19</v>
      </c>
      <c r="E98" s="239"/>
      <c r="F98" s="239">
        <v>1</v>
      </c>
      <c r="G98" s="240"/>
      <c r="H98" s="240">
        <f t="shared" ref="H98:H99" si="76">G98*F98</f>
        <v>0</v>
      </c>
      <c r="I98" s="239"/>
      <c r="J98" s="239"/>
      <c r="K98" s="239"/>
      <c r="L98" s="239"/>
      <c r="M98" s="240">
        <f t="shared" si="74"/>
        <v>0</v>
      </c>
      <c r="N98" s="198"/>
      <c r="O98" s="198"/>
      <c r="P98" s="198"/>
      <c r="Q98" s="198"/>
      <c r="R98" s="198"/>
      <c r="S98" s="198"/>
    </row>
    <row r="99" spans="1:19" ht="15">
      <c r="A99" s="237"/>
      <c r="B99" s="238"/>
      <c r="C99" s="239" t="s">
        <v>21</v>
      </c>
      <c r="D99" s="239" t="s">
        <v>25</v>
      </c>
      <c r="E99" s="239">
        <v>12.5</v>
      </c>
      <c r="F99" s="239">
        <f>E99*F95</f>
        <v>12.5</v>
      </c>
      <c r="G99" s="239"/>
      <c r="H99" s="240">
        <f t="shared" si="76"/>
        <v>0</v>
      </c>
      <c r="I99" s="239"/>
      <c r="J99" s="239"/>
      <c r="K99" s="239"/>
      <c r="L99" s="239"/>
      <c r="M99" s="240">
        <f t="shared" si="74"/>
        <v>0</v>
      </c>
      <c r="N99" s="198"/>
      <c r="O99" s="198"/>
      <c r="P99" s="198"/>
      <c r="Q99" s="198"/>
      <c r="R99" s="198"/>
      <c r="S99" s="198"/>
    </row>
    <row r="100" spans="1:19" ht="45">
      <c r="A100" s="237">
        <v>35</v>
      </c>
      <c r="B100" s="238" t="s">
        <v>930</v>
      </c>
      <c r="C100" s="237" t="s">
        <v>928</v>
      </c>
      <c r="D100" s="237" t="s">
        <v>19</v>
      </c>
      <c r="E100" s="239"/>
      <c r="F100" s="239">
        <v>1</v>
      </c>
      <c r="G100" s="239"/>
      <c r="H100" s="239"/>
      <c r="I100" s="239"/>
      <c r="J100" s="239"/>
      <c r="K100" s="239"/>
      <c r="L100" s="239"/>
      <c r="M100" s="239"/>
      <c r="N100" s="198"/>
      <c r="O100" s="198"/>
      <c r="P100" s="198"/>
      <c r="Q100" s="198"/>
      <c r="R100" s="198"/>
      <c r="S100" s="198"/>
    </row>
    <row r="101" spans="1:19" ht="15">
      <c r="A101" s="237"/>
      <c r="B101" s="238"/>
      <c r="C101" s="239" t="s">
        <v>180</v>
      </c>
      <c r="D101" s="239" t="s">
        <v>19</v>
      </c>
      <c r="E101" s="239">
        <v>1</v>
      </c>
      <c r="F101" s="239">
        <f>E101*F100</f>
        <v>1</v>
      </c>
      <c r="G101" s="239"/>
      <c r="H101" s="239"/>
      <c r="I101" s="239"/>
      <c r="J101" s="239">
        <f t="shared" ref="J101" si="77">I101*F101</f>
        <v>0</v>
      </c>
      <c r="K101" s="239"/>
      <c r="L101" s="239"/>
      <c r="M101" s="239">
        <f t="shared" ref="M101:M104" si="78">L101+J101+H101</f>
        <v>0</v>
      </c>
      <c r="N101" s="198"/>
      <c r="O101" s="198"/>
      <c r="P101" s="198"/>
      <c r="Q101" s="198"/>
      <c r="R101" s="198"/>
      <c r="S101" s="198"/>
    </row>
    <row r="102" spans="1:19" ht="15">
      <c r="A102" s="237"/>
      <c r="B102" s="238"/>
      <c r="C102" s="239" t="s">
        <v>36</v>
      </c>
      <c r="D102" s="239" t="s">
        <v>25</v>
      </c>
      <c r="E102" s="239">
        <v>8.19</v>
      </c>
      <c r="F102" s="239">
        <f>E102*F100</f>
        <v>8.19</v>
      </c>
      <c r="G102" s="239"/>
      <c r="H102" s="239"/>
      <c r="I102" s="239"/>
      <c r="J102" s="239"/>
      <c r="K102" s="239"/>
      <c r="L102" s="240">
        <f t="shared" ref="L102" si="79">K102*F102</f>
        <v>0</v>
      </c>
      <c r="M102" s="240">
        <f t="shared" si="78"/>
        <v>0</v>
      </c>
      <c r="N102" s="198"/>
      <c r="O102" s="198"/>
      <c r="P102" s="198"/>
      <c r="Q102" s="198"/>
      <c r="R102" s="198"/>
      <c r="S102" s="198"/>
    </row>
    <row r="103" spans="1:19" ht="30">
      <c r="A103" s="237"/>
      <c r="B103" s="238"/>
      <c r="C103" s="239" t="s">
        <v>927</v>
      </c>
      <c r="D103" s="239" t="s">
        <v>19</v>
      </c>
      <c r="E103" s="239"/>
      <c r="F103" s="239">
        <v>1</v>
      </c>
      <c r="G103" s="240"/>
      <c r="H103" s="240">
        <f t="shared" ref="H103:H104" si="80">G103*F103</f>
        <v>0</v>
      </c>
      <c r="I103" s="239"/>
      <c r="J103" s="239"/>
      <c r="K103" s="239"/>
      <c r="L103" s="239"/>
      <c r="M103" s="240">
        <f t="shared" si="78"/>
        <v>0</v>
      </c>
      <c r="N103" s="198"/>
      <c r="O103" s="198"/>
      <c r="P103" s="198"/>
      <c r="Q103" s="198"/>
      <c r="R103" s="198"/>
      <c r="S103" s="198"/>
    </row>
    <row r="104" spans="1:19" ht="15">
      <c r="A104" s="237"/>
      <c r="B104" s="238"/>
      <c r="C104" s="239" t="s">
        <v>21</v>
      </c>
      <c r="D104" s="239" t="s">
        <v>25</v>
      </c>
      <c r="E104" s="239">
        <v>12.5</v>
      </c>
      <c r="F104" s="239">
        <f>E104*F100</f>
        <v>12.5</v>
      </c>
      <c r="G104" s="239"/>
      <c r="H104" s="240">
        <f t="shared" si="80"/>
        <v>0</v>
      </c>
      <c r="I104" s="239"/>
      <c r="J104" s="239"/>
      <c r="K104" s="239"/>
      <c r="L104" s="239"/>
      <c r="M104" s="240">
        <f t="shared" si="78"/>
        <v>0</v>
      </c>
      <c r="N104" s="198"/>
      <c r="O104" s="198"/>
      <c r="P104" s="198"/>
      <c r="Q104" s="198"/>
      <c r="R104" s="198"/>
      <c r="S104" s="198"/>
    </row>
    <row r="105" spans="1:19" ht="30">
      <c r="A105" s="237">
        <v>36</v>
      </c>
      <c r="B105" s="238" t="s">
        <v>930</v>
      </c>
      <c r="C105" s="237" t="s">
        <v>929</v>
      </c>
      <c r="D105" s="237" t="s">
        <v>19</v>
      </c>
      <c r="E105" s="239"/>
      <c r="F105" s="239">
        <v>1</v>
      </c>
      <c r="G105" s="239"/>
      <c r="H105" s="239"/>
      <c r="I105" s="239"/>
      <c r="J105" s="239"/>
      <c r="K105" s="239"/>
      <c r="L105" s="239"/>
      <c r="M105" s="239"/>
      <c r="N105" s="198"/>
      <c r="O105" s="198"/>
      <c r="P105" s="198"/>
      <c r="Q105" s="198"/>
      <c r="R105" s="198"/>
      <c r="S105" s="198"/>
    </row>
    <row r="106" spans="1:19" ht="15">
      <c r="A106" s="237"/>
      <c r="B106" s="238"/>
      <c r="C106" s="239" t="s">
        <v>180</v>
      </c>
      <c r="D106" s="239" t="s">
        <v>19</v>
      </c>
      <c r="E106" s="239">
        <v>1</v>
      </c>
      <c r="F106" s="239">
        <f>E106*F105</f>
        <v>1</v>
      </c>
      <c r="G106" s="239"/>
      <c r="H106" s="239"/>
      <c r="I106" s="239"/>
      <c r="J106" s="239">
        <f t="shared" ref="J106" si="81">I106*F106</f>
        <v>0</v>
      </c>
      <c r="K106" s="239"/>
      <c r="L106" s="239"/>
      <c r="M106" s="239">
        <f t="shared" ref="M106:M109" si="82">L106+J106+H106</f>
        <v>0</v>
      </c>
      <c r="N106" s="198"/>
      <c r="O106" s="198"/>
      <c r="P106" s="198"/>
      <c r="Q106" s="198"/>
      <c r="R106" s="198"/>
      <c r="S106" s="198"/>
    </row>
    <row r="107" spans="1:19" ht="15">
      <c r="A107" s="237"/>
      <c r="B107" s="238"/>
      <c r="C107" s="239" t="s">
        <v>36</v>
      </c>
      <c r="D107" s="239" t="s">
        <v>25</v>
      </c>
      <c r="E107" s="239">
        <v>8.19</v>
      </c>
      <c r="F107" s="239">
        <f>E107*F105</f>
        <v>8.19</v>
      </c>
      <c r="G107" s="239"/>
      <c r="H107" s="239"/>
      <c r="I107" s="239"/>
      <c r="J107" s="239"/>
      <c r="K107" s="239"/>
      <c r="L107" s="240">
        <f t="shared" ref="L107" si="83">K107*F107</f>
        <v>0</v>
      </c>
      <c r="M107" s="240">
        <f t="shared" si="82"/>
        <v>0</v>
      </c>
      <c r="N107" s="198"/>
      <c r="O107" s="198"/>
      <c r="P107" s="198"/>
      <c r="Q107" s="198"/>
      <c r="R107" s="198"/>
      <c r="S107" s="198"/>
    </row>
    <row r="108" spans="1:19" ht="30">
      <c r="A108" s="237"/>
      <c r="B108" s="238"/>
      <c r="C108" s="239" t="s">
        <v>929</v>
      </c>
      <c r="D108" s="239" t="s">
        <v>19</v>
      </c>
      <c r="E108" s="239">
        <v>1</v>
      </c>
      <c r="F108" s="239">
        <f>E108*F105</f>
        <v>1</v>
      </c>
      <c r="G108" s="240"/>
      <c r="H108" s="240">
        <f t="shared" ref="H108:H109" si="84">G108*F108</f>
        <v>0</v>
      </c>
      <c r="I108" s="239"/>
      <c r="J108" s="239"/>
      <c r="K108" s="239"/>
      <c r="L108" s="239"/>
      <c r="M108" s="240">
        <f t="shared" si="82"/>
        <v>0</v>
      </c>
      <c r="N108" s="198"/>
      <c r="O108" s="198"/>
      <c r="P108" s="198"/>
      <c r="Q108" s="198"/>
      <c r="R108" s="198"/>
      <c r="S108" s="198"/>
    </row>
    <row r="109" spans="1:19" ht="15">
      <c r="A109" s="237"/>
      <c r="B109" s="238"/>
      <c r="C109" s="239" t="s">
        <v>21</v>
      </c>
      <c r="D109" s="239" t="s">
        <v>25</v>
      </c>
      <c r="E109" s="239">
        <v>12.5</v>
      </c>
      <c r="F109" s="239">
        <f>E109*F105</f>
        <v>12.5</v>
      </c>
      <c r="G109" s="239"/>
      <c r="H109" s="240">
        <f t="shared" si="84"/>
        <v>0</v>
      </c>
      <c r="I109" s="239"/>
      <c r="J109" s="239"/>
      <c r="K109" s="239"/>
      <c r="L109" s="239"/>
      <c r="M109" s="240">
        <f t="shared" si="82"/>
        <v>0</v>
      </c>
      <c r="N109" s="198"/>
      <c r="O109" s="198"/>
      <c r="P109" s="198"/>
      <c r="Q109" s="198"/>
      <c r="R109" s="198"/>
      <c r="S109" s="198"/>
    </row>
    <row r="110" spans="1:19" ht="30">
      <c r="A110" s="237">
        <v>37</v>
      </c>
      <c r="B110" s="238" t="s">
        <v>930</v>
      </c>
      <c r="C110" s="237" t="s">
        <v>931</v>
      </c>
      <c r="D110" s="237" t="s">
        <v>19</v>
      </c>
      <c r="E110" s="239"/>
      <c r="F110" s="239">
        <v>1</v>
      </c>
      <c r="G110" s="239"/>
      <c r="H110" s="239"/>
      <c r="I110" s="239"/>
      <c r="J110" s="239"/>
      <c r="K110" s="239"/>
      <c r="L110" s="239"/>
      <c r="M110" s="239"/>
      <c r="N110" s="198"/>
      <c r="O110" s="198"/>
      <c r="P110" s="198"/>
      <c r="Q110" s="198"/>
      <c r="R110" s="198"/>
      <c r="S110" s="198"/>
    </row>
    <row r="111" spans="1:19" ht="15">
      <c r="A111" s="237"/>
      <c r="B111" s="238"/>
      <c r="C111" s="239" t="s">
        <v>180</v>
      </c>
      <c r="D111" s="239" t="s">
        <v>19</v>
      </c>
      <c r="E111" s="239">
        <v>1</v>
      </c>
      <c r="F111" s="239">
        <f>E111*F110</f>
        <v>1</v>
      </c>
      <c r="G111" s="239"/>
      <c r="H111" s="239"/>
      <c r="I111" s="239"/>
      <c r="J111" s="239">
        <f t="shared" ref="J111" si="85">I111*F111</f>
        <v>0</v>
      </c>
      <c r="K111" s="239"/>
      <c r="L111" s="239"/>
      <c r="M111" s="239">
        <f t="shared" ref="M111:M114" si="86">L111+J111+H111</f>
        <v>0</v>
      </c>
      <c r="N111" s="198"/>
      <c r="O111" s="198"/>
      <c r="P111" s="198"/>
      <c r="Q111" s="198"/>
      <c r="R111" s="198"/>
      <c r="S111" s="198"/>
    </row>
    <row r="112" spans="1:19" ht="15">
      <c r="A112" s="237"/>
      <c r="B112" s="238"/>
      <c r="C112" s="239" t="s">
        <v>36</v>
      </c>
      <c r="D112" s="239" t="s">
        <v>25</v>
      </c>
      <c r="E112" s="239">
        <v>8.19</v>
      </c>
      <c r="F112" s="239">
        <f>E112*F110</f>
        <v>8.19</v>
      </c>
      <c r="G112" s="239"/>
      <c r="H112" s="239"/>
      <c r="I112" s="239"/>
      <c r="J112" s="239"/>
      <c r="K112" s="239"/>
      <c r="L112" s="240">
        <f t="shared" ref="L112" si="87">K112*F112</f>
        <v>0</v>
      </c>
      <c r="M112" s="240">
        <f t="shared" si="86"/>
        <v>0</v>
      </c>
      <c r="N112" s="198"/>
      <c r="O112" s="198"/>
      <c r="P112" s="198"/>
      <c r="Q112" s="198"/>
      <c r="R112" s="198"/>
      <c r="S112" s="198"/>
    </row>
    <row r="113" spans="1:19" ht="30">
      <c r="A113" s="237"/>
      <c r="B113" s="238"/>
      <c r="C113" s="239" t="s">
        <v>931</v>
      </c>
      <c r="D113" s="239" t="s">
        <v>19</v>
      </c>
      <c r="E113" s="239">
        <v>1</v>
      </c>
      <c r="F113" s="239">
        <f>E113*F110</f>
        <v>1</v>
      </c>
      <c r="G113" s="240"/>
      <c r="H113" s="240">
        <f t="shared" ref="H113:H114" si="88">G113*F113</f>
        <v>0</v>
      </c>
      <c r="I113" s="239"/>
      <c r="J113" s="239"/>
      <c r="K113" s="239"/>
      <c r="L113" s="239"/>
      <c r="M113" s="240">
        <f t="shared" si="86"/>
        <v>0</v>
      </c>
      <c r="N113" s="198"/>
      <c r="O113" s="198"/>
      <c r="P113" s="198"/>
      <c r="Q113" s="198"/>
      <c r="R113" s="198"/>
      <c r="S113" s="198"/>
    </row>
    <row r="114" spans="1:19" ht="15">
      <c r="A114" s="237"/>
      <c r="B114" s="238"/>
      <c r="C114" s="239" t="s">
        <v>21</v>
      </c>
      <c r="D114" s="239" t="s">
        <v>25</v>
      </c>
      <c r="E114" s="239">
        <v>12.5</v>
      </c>
      <c r="F114" s="239">
        <f>E114*F110</f>
        <v>12.5</v>
      </c>
      <c r="G114" s="239"/>
      <c r="H114" s="240">
        <f t="shared" si="88"/>
        <v>0</v>
      </c>
      <c r="I114" s="239"/>
      <c r="J114" s="239"/>
      <c r="K114" s="239"/>
      <c r="L114" s="239"/>
      <c r="M114" s="240">
        <f t="shared" si="86"/>
        <v>0</v>
      </c>
      <c r="N114" s="198"/>
      <c r="O114" s="198"/>
      <c r="P114" s="198"/>
      <c r="Q114" s="198"/>
      <c r="R114" s="198"/>
      <c r="S114" s="198"/>
    </row>
    <row r="115" spans="1:19" ht="30">
      <c r="A115" s="237">
        <v>38</v>
      </c>
      <c r="B115" s="238" t="s">
        <v>925</v>
      </c>
      <c r="C115" s="237" t="s">
        <v>932</v>
      </c>
      <c r="D115" s="237" t="s">
        <v>19</v>
      </c>
      <c r="E115" s="239"/>
      <c r="F115" s="239">
        <v>1</v>
      </c>
      <c r="G115" s="239"/>
      <c r="H115" s="239"/>
      <c r="I115" s="239"/>
      <c r="J115" s="239"/>
      <c r="K115" s="239"/>
      <c r="L115" s="239"/>
      <c r="M115" s="239"/>
      <c r="N115" s="198"/>
      <c r="O115" s="198"/>
      <c r="P115" s="198"/>
      <c r="Q115" s="198"/>
      <c r="R115" s="198"/>
      <c r="S115" s="198"/>
    </row>
    <row r="116" spans="1:19" ht="15">
      <c r="A116" s="237"/>
      <c r="B116" s="238"/>
      <c r="C116" s="239" t="s">
        <v>180</v>
      </c>
      <c r="D116" s="239" t="s">
        <v>19</v>
      </c>
      <c r="E116" s="239">
        <v>1</v>
      </c>
      <c r="F116" s="239">
        <f>E116*F115</f>
        <v>1</v>
      </c>
      <c r="G116" s="239"/>
      <c r="H116" s="239"/>
      <c r="I116" s="239"/>
      <c r="J116" s="239">
        <f t="shared" ref="J116" si="89">I116*F116</f>
        <v>0</v>
      </c>
      <c r="K116" s="239"/>
      <c r="L116" s="239"/>
      <c r="M116" s="239">
        <f t="shared" ref="M116:M119" si="90">L116+J116+H116</f>
        <v>0</v>
      </c>
      <c r="N116" s="198"/>
      <c r="O116" s="198"/>
      <c r="P116" s="198"/>
      <c r="Q116" s="198"/>
      <c r="R116" s="198"/>
      <c r="S116" s="198"/>
    </row>
    <row r="117" spans="1:19" ht="15">
      <c r="A117" s="237"/>
      <c r="B117" s="238"/>
      <c r="C117" s="239" t="s">
        <v>36</v>
      </c>
      <c r="D117" s="239" t="s">
        <v>25</v>
      </c>
      <c r="E117" s="239">
        <v>6.28</v>
      </c>
      <c r="F117" s="239">
        <f>E117*F115</f>
        <v>6.28</v>
      </c>
      <c r="G117" s="239"/>
      <c r="H117" s="239"/>
      <c r="I117" s="239"/>
      <c r="J117" s="239"/>
      <c r="K117" s="239"/>
      <c r="L117" s="240">
        <f t="shared" ref="L117" si="91">K117*F117</f>
        <v>0</v>
      </c>
      <c r="M117" s="240">
        <f t="shared" si="90"/>
        <v>0</v>
      </c>
      <c r="N117" s="198"/>
      <c r="O117" s="198"/>
      <c r="P117" s="198"/>
      <c r="Q117" s="198"/>
      <c r="R117" s="198"/>
      <c r="S117" s="198"/>
    </row>
    <row r="118" spans="1:19" ht="30">
      <c r="A118" s="237"/>
      <c r="B118" s="238"/>
      <c r="C118" s="239" t="s">
        <v>932</v>
      </c>
      <c r="D118" s="239" t="s">
        <v>19</v>
      </c>
      <c r="E118" s="239">
        <v>1</v>
      </c>
      <c r="F118" s="239">
        <f>E118*F115</f>
        <v>1</v>
      </c>
      <c r="G118" s="240"/>
      <c r="H118" s="240">
        <f t="shared" ref="H118:H119" si="92">G118*F118</f>
        <v>0</v>
      </c>
      <c r="I118" s="239"/>
      <c r="J118" s="239"/>
      <c r="K118" s="239"/>
      <c r="L118" s="239"/>
      <c r="M118" s="240">
        <f t="shared" si="90"/>
        <v>0</v>
      </c>
      <c r="N118" s="198"/>
      <c r="O118" s="198"/>
      <c r="P118" s="198"/>
      <c r="Q118" s="198"/>
      <c r="R118" s="198"/>
      <c r="S118" s="198"/>
    </row>
    <row r="119" spans="1:19" ht="15">
      <c r="A119" s="237"/>
      <c r="B119" s="238"/>
      <c r="C119" s="239" t="s">
        <v>21</v>
      </c>
      <c r="D119" s="239" t="s">
        <v>25</v>
      </c>
      <c r="E119" s="239">
        <v>11</v>
      </c>
      <c r="F119" s="239">
        <f>E119*F115</f>
        <v>11</v>
      </c>
      <c r="G119" s="239"/>
      <c r="H119" s="240">
        <f t="shared" si="92"/>
        <v>0</v>
      </c>
      <c r="I119" s="239"/>
      <c r="J119" s="239"/>
      <c r="K119" s="239"/>
      <c r="L119" s="239"/>
      <c r="M119" s="240">
        <f t="shared" si="90"/>
        <v>0</v>
      </c>
      <c r="N119" s="198"/>
      <c r="O119" s="198"/>
      <c r="P119" s="198"/>
      <c r="Q119" s="198"/>
      <c r="R119" s="198"/>
      <c r="S119" s="198"/>
    </row>
    <row r="120" spans="1:19" ht="165">
      <c r="A120" s="237">
        <v>39</v>
      </c>
      <c r="B120" s="238"/>
      <c r="C120" s="239" t="s">
        <v>933</v>
      </c>
      <c r="D120" s="237" t="s">
        <v>268</v>
      </c>
      <c r="E120" s="239"/>
      <c r="F120" s="239">
        <v>1</v>
      </c>
      <c r="G120" s="240"/>
      <c r="H120" s="240">
        <f>G120*F120</f>
        <v>0</v>
      </c>
      <c r="I120" s="239"/>
      <c r="J120" s="239">
        <f t="shared" ref="J120" si="93">I120*F120</f>
        <v>0</v>
      </c>
      <c r="K120" s="239"/>
      <c r="L120" s="239"/>
      <c r="M120" s="239"/>
      <c r="N120" s="198"/>
      <c r="O120" s="198"/>
      <c r="P120" s="198"/>
      <c r="Q120" s="198"/>
      <c r="R120" s="198"/>
      <c r="S120" s="198"/>
    </row>
    <row r="121" spans="1:19" ht="165">
      <c r="A121" s="237">
        <v>40</v>
      </c>
      <c r="B121" s="238"/>
      <c r="C121" s="239" t="s">
        <v>934</v>
      </c>
      <c r="D121" s="237" t="s">
        <v>268</v>
      </c>
      <c r="E121" s="239"/>
      <c r="F121" s="239">
        <v>1</v>
      </c>
      <c r="G121" s="240"/>
      <c r="H121" s="240">
        <f t="shared" ref="H121:H126" si="94">G121*F121</f>
        <v>0</v>
      </c>
      <c r="I121" s="239"/>
      <c r="J121" s="239">
        <f t="shared" ref="J121" si="95">I121*F121</f>
        <v>0</v>
      </c>
      <c r="K121" s="239"/>
      <c r="L121" s="239"/>
      <c r="M121" s="239"/>
      <c r="N121" s="198"/>
      <c r="O121" s="198"/>
      <c r="P121" s="198"/>
      <c r="Q121" s="198"/>
      <c r="R121" s="198"/>
      <c r="S121" s="198"/>
    </row>
    <row r="122" spans="1:19" ht="150">
      <c r="A122" s="237">
        <v>41</v>
      </c>
      <c r="B122" s="238"/>
      <c r="C122" s="239" t="s">
        <v>935</v>
      </c>
      <c r="D122" s="237" t="s">
        <v>268</v>
      </c>
      <c r="E122" s="239"/>
      <c r="F122" s="239">
        <v>1</v>
      </c>
      <c r="G122" s="240"/>
      <c r="H122" s="240">
        <f t="shared" si="94"/>
        <v>0</v>
      </c>
      <c r="I122" s="239"/>
      <c r="J122" s="239">
        <f t="shared" ref="J122" si="96">I122*F122</f>
        <v>0</v>
      </c>
      <c r="K122" s="239"/>
      <c r="L122" s="239"/>
      <c r="M122" s="239"/>
      <c r="N122" s="198"/>
      <c r="O122" s="198"/>
      <c r="P122" s="198"/>
      <c r="Q122" s="198"/>
      <c r="R122" s="198"/>
      <c r="S122" s="198"/>
    </row>
    <row r="123" spans="1:19" ht="165">
      <c r="A123" s="237">
        <v>42</v>
      </c>
      <c r="B123" s="238"/>
      <c r="C123" s="239" t="s">
        <v>936</v>
      </c>
      <c r="D123" s="237" t="s">
        <v>268</v>
      </c>
      <c r="E123" s="239"/>
      <c r="F123" s="239">
        <v>1</v>
      </c>
      <c r="G123" s="240"/>
      <c r="H123" s="240">
        <f t="shared" si="94"/>
        <v>0</v>
      </c>
      <c r="I123" s="239"/>
      <c r="J123" s="239">
        <f t="shared" ref="J123" si="97">I123*F123</f>
        <v>0</v>
      </c>
      <c r="K123" s="239"/>
      <c r="L123" s="239"/>
      <c r="M123" s="239"/>
      <c r="N123" s="198"/>
      <c r="O123" s="198"/>
      <c r="P123" s="198"/>
      <c r="Q123" s="198"/>
      <c r="R123" s="198"/>
      <c r="S123" s="198"/>
    </row>
    <row r="124" spans="1:19" ht="165">
      <c r="A124" s="237">
        <v>43</v>
      </c>
      <c r="B124" s="238"/>
      <c r="C124" s="239" t="s">
        <v>937</v>
      </c>
      <c r="D124" s="237" t="s">
        <v>268</v>
      </c>
      <c r="E124" s="239"/>
      <c r="F124" s="239">
        <v>1</v>
      </c>
      <c r="G124" s="239"/>
      <c r="H124" s="240">
        <f t="shared" si="94"/>
        <v>0</v>
      </c>
      <c r="I124" s="239"/>
      <c r="J124" s="239">
        <f t="shared" ref="J124" si="98">I124*F124</f>
        <v>0</v>
      </c>
      <c r="K124" s="239"/>
      <c r="L124" s="239"/>
      <c r="M124" s="239"/>
      <c r="N124" s="198"/>
      <c r="O124" s="198"/>
      <c r="P124" s="198"/>
      <c r="Q124" s="198"/>
      <c r="R124" s="198"/>
      <c r="S124" s="198"/>
    </row>
    <row r="125" spans="1:19" ht="165">
      <c r="A125" s="237">
        <v>43</v>
      </c>
      <c r="B125" s="238"/>
      <c r="C125" s="239" t="s">
        <v>938</v>
      </c>
      <c r="D125" s="237" t="s">
        <v>268</v>
      </c>
      <c r="E125" s="239"/>
      <c r="F125" s="239">
        <v>1</v>
      </c>
      <c r="G125" s="239"/>
      <c r="H125" s="240">
        <f t="shared" si="94"/>
        <v>0</v>
      </c>
      <c r="I125" s="239"/>
      <c r="J125" s="239">
        <f t="shared" ref="J125" si="99">I125*F125</f>
        <v>0</v>
      </c>
      <c r="K125" s="239"/>
      <c r="L125" s="239"/>
      <c r="M125" s="239"/>
      <c r="N125" s="198"/>
      <c r="O125" s="198"/>
      <c r="P125" s="198"/>
      <c r="Q125" s="198"/>
      <c r="R125" s="198"/>
      <c r="S125" s="198"/>
    </row>
    <row r="126" spans="1:19" ht="165">
      <c r="A126" s="237">
        <v>44</v>
      </c>
      <c r="B126" s="238"/>
      <c r="C126" s="239" t="s">
        <v>939</v>
      </c>
      <c r="D126" s="237" t="s">
        <v>268</v>
      </c>
      <c r="E126" s="239"/>
      <c r="F126" s="239">
        <v>1</v>
      </c>
      <c r="G126" s="239"/>
      <c r="H126" s="240">
        <f t="shared" si="94"/>
        <v>0</v>
      </c>
      <c r="I126" s="239"/>
      <c r="J126" s="239">
        <f t="shared" ref="J126" si="100">I126*F126</f>
        <v>0</v>
      </c>
      <c r="K126" s="239"/>
      <c r="L126" s="239"/>
      <c r="M126" s="239"/>
      <c r="N126" s="198"/>
      <c r="O126" s="198"/>
      <c r="P126" s="198"/>
      <c r="Q126" s="198"/>
      <c r="R126" s="198"/>
      <c r="S126" s="198"/>
    </row>
    <row r="127" spans="1:19" ht="15">
      <c r="A127" s="237"/>
      <c r="B127" s="238"/>
      <c r="C127" s="377" t="s">
        <v>940</v>
      </c>
      <c r="D127" s="237"/>
      <c r="E127" s="239"/>
      <c r="F127" s="239"/>
      <c r="G127" s="239"/>
      <c r="H127" s="240"/>
      <c r="I127" s="239"/>
      <c r="J127" s="239"/>
      <c r="K127" s="239"/>
      <c r="L127" s="239"/>
      <c r="M127" s="239"/>
      <c r="N127" s="198"/>
      <c r="O127" s="198"/>
      <c r="P127" s="198"/>
      <c r="Q127" s="198"/>
      <c r="R127" s="198"/>
      <c r="S127" s="198"/>
    </row>
    <row r="128" spans="1:19" ht="30">
      <c r="A128" s="237">
        <v>1</v>
      </c>
      <c r="B128" s="238" t="s">
        <v>879</v>
      </c>
      <c r="C128" s="237" t="s">
        <v>941</v>
      </c>
      <c r="D128" s="237" t="s">
        <v>27</v>
      </c>
      <c r="E128" s="239"/>
      <c r="F128" s="239">
        <v>140</v>
      </c>
      <c r="G128" s="239"/>
      <c r="H128" s="239"/>
      <c r="I128" s="239"/>
      <c r="J128" s="239"/>
      <c r="K128" s="239"/>
      <c r="L128" s="239"/>
      <c r="M128" s="239"/>
      <c r="N128" s="198"/>
      <c r="O128" s="198"/>
      <c r="P128" s="198"/>
      <c r="Q128" s="198"/>
      <c r="R128" s="198"/>
      <c r="S128" s="198"/>
    </row>
    <row r="129" spans="1:19" ht="15">
      <c r="A129" s="237"/>
      <c r="B129" s="238"/>
      <c r="C129" s="239" t="s">
        <v>180</v>
      </c>
      <c r="D129" s="239" t="s">
        <v>27</v>
      </c>
      <c r="E129" s="239">
        <v>1</v>
      </c>
      <c r="F129" s="239">
        <f>E129*F128</f>
        <v>140</v>
      </c>
      <c r="G129" s="239"/>
      <c r="H129" s="239"/>
      <c r="I129" s="239"/>
      <c r="J129" s="239">
        <f t="shared" ref="J129" si="101">I129*F129</f>
        <v>0</v>
      </c>
      <c r="K129" s="239"/>
      <c r="L129" s="239"/>
      <c r="M129" s="239">
        <f t="shared" ref="M129:M132" si="102">L129+J129+H129</f>
        <v>0</v>
      </c>
      <c r="N129" s="198"/>
      <c r="O129" s="198"/>
      <c r="P129" s="198"/>
      <c r="Q129" s="198"/>
      <c r="R129" s="198"/>
      <c r="S129" s="198"/>
    </row>
    <row r="130" spans="1:19" ht="15">
      <c r="A130" s="237"/>
      <c r="B130" s="238"/>
      <c r="C130" s="239" t="s">
        <v>36</v>
      </c>
      <c r="D130" s="239" t="s">
        <v>25</v>
      </c>
      <c r="E130" s="239">
        <v>3.5900000000000001E-2</v>
      </c>
      <c r="F130" s="239">
        <f>E130*F128</f>
        <v>5.0259999999999998</v>
      </c>
      <c r="G130" s="239"/>
      <c r="H130" s="239"/>
      <c r="I130" s="239"/>
      <c r="J130" s="239"/>
      <c r="K130" s="239"/>
      <c r="L130" s="240">
        <f t="shared" ref="L130" si="103">K130*F130</f>
        <v>0</v>
      </c>
      <c r="M130" s="240">
        <f t="shared" si="102"/>
        <v>0</v>
      </c>
      <c r="N130" s="198"/>
      <c r="O130" s="198"/>
      <c r="P130" s="198"/>
      <c r="Q130" s="198"/>
      <c r="R130" s="198"/>
      <c r="S130" s="198"/>
    </row>
    <row r="131" spans="1:19" ht="30">
      <c r="A131" s="237"/>
      <c r="B131" s="238"/>
      <c r="C131" s="239" t="s">
        <v>941</v>
      </c>
      <c r="D131" s="239" t="s">
        <v>27</v>
      </c>
      <c r="E131" s="239">
        <v>1</v>
      </c>
      <c r="F131" s="239">
        <f>E131*F128</f>
        <v>140</v>
      </c>
      <c r="G131" s="240"/>
      <c r="H131" s="240">
        <f t="shared" ref="H131:H132" si="104">G131*F131</f>
        <v>0</v>
      </c>
      <c r="I131" s="239"/>
      <c r="J131" s="239"/>
      <c r="K131" s="239"/>
      <c r="L131" s="239"/>
      <c r="M131" s="240">
        <f t="shared" si="102"/>
        <v>0</v>
      </c>
      <c r="N131" s="198"/>
      <c r="O131" s="198"/>
      <c r="P131" s="198"/>
      <c r="Q131" s="198"/>
      <c r="R131" s="198"/>
      <c r="S131" s="198"/>
    </row>
    <row r="132" spans="1:19" ht="15">
      <c r="A132" s="237"/>
      <c r="B132" s="238"/>
      <c r="C132" s="239" t="s">
        <v>21</v>
      </c>
      <c r="D132" s="239" t="s">
        <v>25</v>
      </c>
      <c r="E132" s="239">
        <v>0.14799999999999999</v>
      </c>
      <c r="F132" s="239">
        <f>E132*F128</f>
        <v>20.72</v>
      </c>
      <c r="G132" s="239"/>
      <c r="H132" s="240">
        <f t="shared" si="104"/>
        <v>0</v>
      </c>
      <c r="I132" s="239"/>
      <c r="J132" s="239"/>
      <c r="K132" s="239"/>
      <c r="L132" s="239"/>
      <c r="M132" s="240">
        <f t="shared" si="102"/>
        <v>0</v>
      </c>
      <c r="N132" s="198"/>
      <c r="O132" s="198"/>
      <c r="P132" s="198"/>
      <c r="Q132" s="198"/>
      <c r="R132" s="198"/>
      <c r="S132" s="198"/>
    </row>
    <row r="133" spans="1:19" ht="30">
      <c r="A133" s="237">
        <v>2</v>
      </c>
      <c r="B133" s="238" t="s">
        <v>879</v>
      </c>
      <c r="C133" s="237" t="s">
        <v>882</v>
      </c>
      <c r="D133" s="237" t="s">
        <v>27</v>
      </c>
      <c r="E133" s="239"/>
      <c r="F133" s="239">
        <v>1600</v>
      </c>
      <c r="G133" s="239"/>
      <c r="H133" s="239"/>
      <c r="I133" s="239"/>
      <c r="J133" s="239"/>
      <c r="K133" s="239"/>
      <c r="L133" s="239"/>
      <c r="M133" s="239"/>
      <c r="N133" s="198"/>
      <c r="O133" s="198"/>
      <c r="P133" s="198"/>
      <c r="Q133" s="198"/>
      <c r="R133" s="198"/>
      <c r="S133" s="198"/>
    </row>
    <row r="134" spans="1:19" ht="15">
      <c r="A134" s="237"/>
      <c r="B134" s="238"/>
      <c r="C134" s="239" t="s">
        <v>180</v>
      </c>
      <c r="D134" s="239" t="s">
        <v>27</v>
      </c>
      <c r="E134" s="239">
        <v>1</v>
      </c>
      <c r="F134" s="239">
        <f>E134*F133</f>
        <v>1600</v>
      </c>
      <c r="G134" s="239"/>
      <c r="H134" s="239"/>
      <c r="I134" s="239"/>
      <c r="J134" s="239">
        <f t="shared" ref="J134" si="105">I134*F134</f>
        <v>0</v>
      </c>
      <c r="K134" s="239"/>
      <c r="L134" s="239"/>
      <c r="M134" s="239">
        <f t="shared" ref="M134:M137" si="106">L134+J134+H134</f>
        <v>0</v>
      </c>
      <c r="N134" s="198"/>
      <c r="O134" s="198"/>
      <c r="P134" s="198"/>
      <c r="Q134" s="198"/>
      <c r="R134" s="198"/>
      <c r="S134" s="198"/>
    </row>
    <row r="135" spans="1:19" ht="15">
      <c r="A135" s="237"/>
      <c r="B135" s="238"/>
      <c r="C135" s="239" t="s">
        <v>36</v>
      </c>
      <c r="D135" s="239" t="s">
        <v>25</v>
      </c>
      <c r="E135" s="239">
        <v>3.5900000000000001E-2</v>
      </c>
      <c r="F135" s="239">
        <f>E135*F133</f>
        <v>57.440000000000005</v>
      </c>
      <c r="G135" s="239"/>
      <c r="H135" s="239"/>
      <c r="I135" s="239"/>
      <c r="J135" s="239"/>
      <c r="K135" s="239"/>
      <c r="L135" s="240">
        <f t="shared" ref="L135" si="107">K135*F135</f>
        <v>0</v>
      </c>
      <c r="M135" s="240">
        <f t="shared" si="106"/>
        <v>0</v>
      </c>
      <c r="N135" s="198"/>
      <c r="O135" s="198"/>
      <c r="P135" s="198"/>
      <c r="Q135" s="198"/>
      <c r="R135" s="198"/>
      <c r="S135" s="198"/>
    </row>
    <row r="136" spans="1:19" ht="30">
      <c r="A136" s="237"/>
      <c r="B136" s="238"/>
      <c r="C136" s="239" t="s">
        <v>881</v>
      </c>
      <c r="D136" s="239" t="s">
        <v>27</v>
      </c>
      <c r="E136" s="239">
        <v>1</v>
      </c>
      <c r="F136" s="239">
        <f>E136*F133</f>
        <v>1600</v>
      </c>
      <c r="G136" s="240"/>
      <c r="H136" s="240">
        <f t="shared" ref="H136:H137" si="108">G136*F136</f>
        <v>0</v>
      </c>
      <c r="I136" s="239"/>
      <c r="J136" s="239"/>
      <c r="K136" s="239"/>
      <c r="L136" s="239"/>
      <c r="M136" s="240">
        <f t="shared" si="106"/>
        <v>0</v>
      </c>
      <c r="N136" s="198"/>
      <c r="O136" s="198"/>
      <c r="P136" s="198"/>
      <c r="Q136" s="198"/>
      <c r="R136" s="198"/>
      <c r="S136" s="198"/>
    </row>
    <row r="137" spans="1:19" ht="15">
      <c r="A137" s="237"/>
      <c r="B137" s="238"/>
      <c r="C137" s="239" t="s">
        <v>21</v>
      </c>
      <c r="D137" s="239" t="s">
        <v>25</v>
      </c>
      <c r="E137" s="239">
        <v>0.14799999999999999</v>
      </c>
      <c r="F137" s="239">
        <f>E137*F133</f>
        <v>236.79999999999998</v>
      </c>
      <c r="G137" s="239"/>
      <c r="H137" s="240">
        <f t="shared" si="108"/>
        <v>0</v>
      </c>
      <c r="I137" s="239"/>
      <c r="J137" s="239"/>
      <c r="K137" s="239"/>
      <c r="L137" s="239"/>
      <c r="M137" s="240">
        <f t="shared" si="106"/>
        <v>0</v>
      </c>
      <c r="N137" s="198"/>
      <c r="O137" s="198"/>
      <c r="P137" s="198"/>
      <c r="Q137" s="198"/>
      <c r="R137" s="198"/>
      <c r="S137" s="198"/>
    </row>
    <row r="138" spans="1:19" ht="30">
      <c r="A138" s="237">
        <v>3</v>
      </c>
      <c r="B138" s="238" t="s">
        <v>930</v>
      </c>
      <c r="C138" s="237" t="s">
        <v>942</v>
      </c>
      <c r="D138" s="237" t="s">
        <v>19</v>
      </c>
      <c r="E138" s="239"/>
      <c r="F138" s="239">
        <v>2</v>
      </c>
      <c r="G138" s="239"/>
      <c r="H138" s="239"/>
      <c r="I138" s="239"/>
      <c r="J138" s="239"/>
      <c r="K138" s="239"/>
      <c r="L138" s="239"/>
      <c r="M138" s="239"/>
      <c r="N138" s="198"/>
      <c r="O138" s="198"/>
      <c r="P138" s="198"/>
      <c r="Q138" s="198"/>
      <c r="R138" s="198"/>
      <c r="S138" s="198"/>
    </row>
    <row r="139" spans="1:19" ht="15">
      <c r="A139" s="237"/>
      <c r="B139" s="238"/>
      <c r="C139" s="239" t="s">
        <v>180</v>
      </c>
      <c r="D139" s="239" t="s">
        <v>19</v>
      </c>
      <c r="E139" s="239">
        <v>1</v>
      </c>
      <c r="F139" s="239">
        <f>E139*F138</f>
        <v>2</v>
      </c>
      <c r="G139" s="239"/>
      <c r="H139" s="239"/>
      <c r="I139" s="239"/>
      <c r="J139" s="239">
        <f t="shared" ref="J139" si="109">I139*F139</f>
        <v>0</v>
      </c>
      <c r="K139" s="239"/>
      <c r="L139" s="239"/>
      <c r="M139" s="239">
        <f t="shared" ref="M139:M142" si="110">L139+J139+H139</f>
        <v>0</v>
      </c>
      <c r="N139" s="198"/>
      <c r="O139" s="198"/>
      <c r="P139" s="198"/>
      <c r="Q139" s="198"/>
      <c r="R139" s="198"/>
      <c r="S139" s="198"/>
    </row>
    <row r="140" spans="1:19" ht="15">
      <c r="A140" s="237"/>
      <c r="B140" s="238"/>
      <c r="C140" s="239" t="s">
        <v>36</v>
      </c>
      <c r="D140" s="239" t="s">
        <v>25</v>
      </c>
      <c r="E140" s="239">
        <v>8.19</v>
      </c>
      <c r="F140" s="239">
        <f>E140*F138</f>
        <v>16.38</v>
      </c>
      <c r="G140" s="239"/>
      <c r="H140" s="239"/>
      <c r="I140" s="239"/>
      <c r="J140" s="239"/>
      <c r="K140" s="239"/>
      <c r="L140" s="240">
        <f t="shared" ref="L140" si="111">K140*F140</f>
        <v>0</v>
      </c>
      <c r="M140" s="240">
        <f t="shared" si="110"/>
        <v>0</v>
      </c>
      <c r="N140" s="198"/>
      <c r="O140" s="198"/>
      <c r="P140" s="198"/>
      <c r="Q140" s="198"/>
      <c r="R140" s="198"/>
      <c r="S140" s="198"/>
    </row>
    <row r="141" spans="1:19" ht="30">
      <c r="A141" s="237"/>
      <c r="B141" s="238"/>
      <c r="C141" s="239" t="s">
        <v>1020</v>
      </c>
      <c r="D141" s="239" t="s">
        <v>19</v>
      </c>
      <c r="E141" s="239"/>
      <c r="F141" s="239">
        <v>2</v>
      </c>
      <c r="G141" s="240"/>
      <c r="H141" s="240">
        <f t="shared" ref="H141:H142" si="112">G141*F141</f>
        <v>0</v>
      </c>
      <c r="I141" s="239"/>
      <c r="J141" s="239"/>
      <c r="K141" s="239"/>
      <c r="L141" s="239"/>
      <c r="M141" s="240">
        <f t="shared" si="110"/>
        <v>0</v>
      </c>
      <c r="N141" s="198"/>
      <c r="O141" s="198"/>
      <c r="P141" s="198"/>
      <c r="Q141" s="198"/>
      <c r="R141" s="198"/>
      <c r="S141" s="198"/>
    </row>
    <row r="142" spans="1:19" ht="15">
      <c r="A142" s="237"/>
      <c r="B142" s="238"/>
      <c r="C142" s="239" t="s">
        <v>21</v>
      </c>
      <c r="D142" s="239" t="s">
        <v>25</v>
      </c>
      <c r="E142" s="239">
        <v>12.5</v>
      </c>
      <c r="F142" s="239">
        <f>E142*F138</f>
        <v>25</v>
      </c>
      <c r="G142" s="239"/>
      <c r="H142" s="240">
        <f t="shared" si="112"/>
        <v>0</v>
      </c>
      <c r="I142" s="239"/>
      <c r="J142" s="239"/>
      <c r="K142" s="239"/>
      <c r="L142" s="239"/>
      <c r="M142" s="240">
        <f t="shared" si="110"/>
        <v>0</v>
      </c>
      <c r="N142" s="198"/>
      <c r="O142" s="198"/>
      <c r="P142" s="198"/>
      <c r="Q142" s="198"/>
      <c r="R142" s="198"/>
      <c r="S142" s="198"/>
    </row>
    <row r="143" spans="1:19" ht="45">
      <c r="A143" s="237">
        <v>4</v>
      </c>
      <c r="B143" s="238" t="s">
        <v>930</v>
      </c>
      <c r="C143" s="237" t="s">
        <v>943</v>
      </c>
      <c r="D143" s="237" t="s">
        <v>19</v>
      </c>
      <c r="E143" s="239"/>
      <c r="F143" s="239">
        <v>2</v>
      </c>
      <c r="G143" s="239"/>
      <c r="H143" s="239"/>
      <c r="I143" s="239"/>
      <c r="J143" s="239"/>
      <c r="K143" s="239"/>
      <c r="L143" s="239"/>
      <c r="M143" s="239"/>
      <c r="N143" s="198"/>
      <c r="O143" s="198"/>
      <c r="P143" s="198"/>
      <c r="Q143" s="198"/>
      <c r="R143" s="198"/>
      <c r="S143" s="198"/>
    </row>
    <row r="144" spans="1:19" ht="15">
      <c r="A144" s="237"/>
      <c r="B144" s="238"/>
      <c r="C144" s="239" t="s">
        <v>180</v>
      </c>
      <c r="D144" s="239" t="s">
        <v>19</v>
      </c>
      <c r="E144" s="239">
        <v>1</v>
      </c>
      <c r="F144" s="239">
        <f>E144*F143</f>
        <v>2</v>
      </c>
      <c r="G144" s="239"/>
      <c r="H144" s="239"/>
      <c r="I144" s="239"/>
      <c r="J144" s="239">
        <f t="shared" ref="J144" si="113">I144*F144</f>
        <v>0</v>
      </c>
      <c r="K144" s="239"/>
      <c r="L144" s="239"/>
      <c r="M144" s="239">
        <f t="shared" ref="M144:M147" si="114">L144+J144+H144</f>
        <v>0</v>
      </c>
      <c r="N144" s="198"/>
      <c r="O144" s="198"/>
      <c r="P144" s="198"/>
      <c r="Q144" s="198"/>
      <c r="R144" s="198"/>
      <c r="S144" s="198"/>
    </row>
    <row r="145" spans="1:19" ht="15">
      <c r="A145" s="237"/>
      <c r="B145" s="238"/>
      <c r="C145" s="239" t="s">
        <v>36</v>
      </c>
      <c r="D145" s="239" t="s">
        <v>25</v>
      </c>
      <c r="E145" s="239">
        <v>8.19</v>
      </c>
      <c r="F145" s="239">
        <f>E145*F143</f>
        <v>16.38</v>
      </c>
      <c r="G145" s="239"/>
      <c r="H145" s="239"/>
      <c r="I145" s="239"/>
      <c r="J145" s="239"/>
      <c r="K145" s="239"/>
      <c r="L145" s="240">
        <f t="shared" ref="L145" si="115">K145*F145</f>
        <v>0</v>
      </c>
      <c r="M145" s="240">
        <f t="shared" si="114"/>
        <v>0</v>
      </c>
      <c r="N145" s="198"/>
      <c r="O145" s="198"/>
      <c r="P145" s="198"/>
      <c r="Q145" s="198"/>
      <c r="R145" s="198"/>
      <c r="S145" s="198"/>
    </row>
    <row r="146" spans="1:19" ht="30">
      <c r="A146" s="237"/>
      <c r="B146" s="238"/>
      <c r="C146" s="239" t="s">
        <v>943</v>
      </c>
      <c r="D146" s="239" t="s">
        <v>19</v>
      </c>
      <c r="E146" s="239"/>
      <c r="F146" s="239">
        <v>2</v>
      </c>
      <c r="G146" s="240"/>
      <c r="H146" s="240">
        <f t="shared" ref="H146:H147" si="116">G146*F146</f>
        <v>0</v>
      </c>
      <c r="I146" s="239"/>
      <c r="J146" s="239"/>
      <c r="K146" s="239"/>
      <c r="L146" s="239"/>
      <c r="M146" s="240">
        <f t="shared" si="114"/>
        <v>0</v>
      </c>
      <c r="N146" s="198"/>
      <c r="O146" s="198"/>
      <c r="P146" s="198"/>
      <c r="Q146" s="198"/>
      <c r="R146" s="198"/>
      <c r="S146" s="198"/>
    </row>
    <row r="147" spans="1:19" ht="15">
      <c r="A147" s="237"/>
      <c r="B147" s="238"/>
      <c r="C147" s="239" t="s">
        <v>21</v>
      </c>
      <c r="D147" s="239" t="s">
        <v>25</v>
      </c>
      <c r="E147" s="239">
        <v>12.5</v>
      </c>
      <c r="F147" s="239">
        <f>E147*F143</f>
        <v>25</v>
      </c>
      <c r="G147" s="239"/>
      <c r="H147" s="240">
        <f t="shared" si="116"/>
        <v>0</v>
      </c>
      <c r="I147" s="239"/>
      <c r="J147" s="239"/>
      <c r="K147" s="239"/>
      <c r="L147" s="239"/>
      <c r="M147" s="240">
        <f t="shared" si="114"/>
        <v>0</v>
      </c>
      <c r="N147" s="198"/>
      <c r="O147" s="198"/>
      <c r="P147" s="198"/>
      <c r="Q147" s="198"/>
      <c r="R147" s="198"/>
      <c r="S147" s="198"/>
    </row>
    <row r="148" spans="1:19" ht="45">
      <c r="A148" s="237">
        <v>5</v>
      </c>
      <c r="B148" s="238" t="s">
        <v>930</v>
      </c>
      <c r="C148" s="237" t="s">
        <v>944</v>
      </c>
      <c r="D148" s="237" t="s">
        <v>19</v>
      </c>
      <c r="E148" s="239"/>
      <c r="F148" s="239">
        <v>1</v>
      </c>
      <c r="G148" s="239"/>
      <c r="H148" s="239"/>
      <c r="I148" s="239"/>
      <c r="J148" s="239"/>
      <c r="K148" s="239"/>
      <c r="L148" s="239"/>
      <c r="M148" s="239"/>
      <c r="N148" s="198"/>
      <c r="O148" s="198"/>
      <c r="P148" s="198"/>
      <c r="Q148" s="198"/>
      <c r="R148" s="198"/>
      <c r="S148" s="198"/>
    </row>
    <row r="149" spans="1:19" ht="15">
      <c r="A149" s="237"/>
      <c r="B149" s="238"/>
      <c r="C149" s="239" t="s">
        <v>180</v>
      </c>
      <c r="D149" s="239" t="s">
        <v>19</v>
      </c>
      <c r="E149" s="239">
        <v>1</v>
      </c>
      <c r="F149" s="239">
        <f>E149*F148</f>
        <v>1</v>
      </c>
      <c r="G149" s="239"/>
      <c r="H149" s="239"/>
      <c r="I149" s="239"/>
      <c r="J149" s="239">
        <f t="shared" ref="J149" si="117">I149*F149</f>
        <v>0</v>
      </c>
      <c r="K149" s="239"/>
      <c r="L149" s="239"/>
      <c r="M149" s="239">
        <f t="shared" ref="M149:M152" si="118">L149+J149+H149</f>
        <v>0</v>
      </c>
      <c r="N149" s="198"/>
      <c r="O149" s="198"/>
      <c r="P149" s="198"/>
      <c r="Q149" s="198"/>
      <c r="R149" s="198"/>
      <c r="S149" s="198"/>
    </row>
    <row r="150" spans="1:19" ht="15">
      <c r="A150" s="237"/>
      <c r="B150" s="238"/>
      <c r="C150" s="239" t="s">
        <v>36</v>
      </c>
      <c r="D150" s="239" t="s">
        <v>25</v>
      </c>
      <c r="E150" s="239">
        <v>8.19</v>
      </c>
      <c r="F150" s="239">
        <f>E150*F148</f>
        <v>8.19</v>
      </c>
      <c r="G150" s="239"/>
      <c r="H150" s="239"/>
      <c r="I150" s="239"/>
      <c r="J150" s="239"/>
      <c r="K150" s="239"/>
      <c r="L150" s="240">
        <f t="shared" ref="L150" si="119">K150*F150</f>
        <v>0</v>
      </c>
      <c r="M150" s="240">
        <f t="shared" si="118"/>
        <v>0</v>
      </c>
      <c r="N150" s="198"/>
      <c r="O150" s="198"/>
      <c r="P150" s="198"/>
      <c r="Q150" s="198"/>
      <c r="R150" s="198"/>
      <c r="S150" s="198"/>
    </row>
    <row r="151" spans="1:19" ht="30">
      <c r="A151" s="237"/>
      <c r="B151" s="238"/>
      <c r="C151" s="239" t="s">
        <v>944</v>
      </c>
      <c r="D151" s="239" t="s">
        <v>19</v>
      </c>
      <c r="E151" s="239"/>
      <c r="F151" s="239">
        <v>1</v>
      </c>
      <c r="G151" s="240"/>
      <c r="H151" s="240">
        <f t="shared" ref="H151:H152" si="120">G151*F151</f>
        <v>0</v>
      </c>
      <c r="I151" s="239"/>
      <c r="J151" s="239"/>
      <c r="K151" s="239"/>
      <c r="L151" s="239"/>
      <c r="M151" s="240">
        <f t="shared" si="118"/>
        <v>0</v>
      </c>
      <c r="N151" s="198"/>
      <c r="O151" s="198"/>
      <c r="P151" s="198"/>
      <c r="Q151" s="198"/>
      <c r="R151" s="198"/>
      <c r="S151" s="198"/>
    </row>
    <row r="152" spans="1:19" ht="15">
      <c r="A152" s="237"/>
      <c r="B152" s="238"/>
      <c r="C152" s="239" t="s">
        <v>21</v>
      </c>
      <c r="D152" s="239" t="s">
        <v>25</v>
      </c>
      <c r="E152" s="239">
        <v>12.5</v>
      </c>
      <c r="F152" s="239">
        <f>E152*F148</f>
        <v>12.5</v>
      </c>
      <c r="G152" s="239"/>
      <c r="H152" s="240">
        <f t="shared" si="120"/>
        <v>0</v>
      </c>
      <c r="I152" s="239"/>
      <c r="J152" s="239"/>
      <c r="K152" s="239"/>
      <c r="L152" s="239"/>
      <c r="M152" s="240">
        <f t="shared" si="118"/>
        <v>0</v>
      </c>
      <c r="N152" s="198"/>
      <c r="O152" s="198"/>
      <c r="P152" s="198"/>
      <c r="Q152" s="198"/>
      <c r="R152" s="198"/>
      <c r="S152" s="198"/>
    </row>
    <row r="153" spans="1:19" ht="45">
      <c r="A153" s="237">
        <v>6</v>
      </c>
      <c r="B153" s="238" t="s">
        <v>930</v>
      </c>
      <c r="C153" s="237" t="s">
        <v>945</v>
      </c>
      <c r="D153" s="237" t="s">
        <v>19</v>
      </c>
      <c r="E153" s="239"/>
      <c r="F153" s="239">
        <v>1</v>
      </c>
      <c r="G153" s="239"/>
      <c r="H153" s="239"/>
      <c r="I153" s="239"/>
      <c r="J153" s="239"/>
      <c r="K153" s="239"/>
      <c r="L153" s="239"/>
      <c r="M153" s="239"/>
      <c r="N153" s="198"/>
      <c r="O153" s="198"/>
      <c r="P153" s="198"/>
      <c r="Q153" s="198"/>
      <c r="R153" s="198"/>
      <c r="S153" s="198"/>
    </row>
    <row r="154" spans="1:19" ht="15">
      <c r="A154" s="237"/>
      <c r="B154" s="238"/>
      <c r="C154" s="239" t="s">
        <v>180</v>
      </c>
      <c r="D154" s="239" t="s">
        <v>19</v>
      </c>
      <c r="E154" s="239">
        <v>1</v>
      </c>
      <c r="F154" s="239">
        <f>E154*F153</f>
        <v>1</v>
      </c>
      <c r="G154" s="239"/>
      <c r="H154" s="239"/>
      <c r="I154" s="239"/>
      <c r="J154" s="239">
        <f t="shared" ref="J154" si="121">I154*F154</f>
        <v>0</v>
      </c>
      <c r="K154" s="239"/>
      <c r="L154" s="239"/>
      <c r="M154" s="239">
        <f t="shared" ref="M154:M157" si="122">L154+J154+H154</f>
        <v>0</v>
      </c>
      <c r="N154" s="198"/>
      <c r="O154" s="198"/>
      <c r="P154" s="198"/>
      <c r="Q154" s="198"/>
      <c r="R154" s="198"/>
      <c r="S154" s="198"/>
    </row>
    <row r="155" spans="1:19" ht="15">
      <c r="A155" s="237"/>
      <c r="B155" s="238"/>
      <c r="C155" s="239" t="s">
        <v>36</v>
      </c>
      <c r="D155" s="239" t="s">
        <v>25</v>
      </c>
      <c r="E155" s="239">
        <v>8.19</v>
      </c>
      <c r="F155" s="239">
        <f>E155*F153</f>
        <v>8.19</v>
      </c>
      <c r="G155" s="239"/>
      <c r="H155" s="239"/>
      <c r="I155" s="239"/>
      <c r="J155" s="239"/>
      <c r="K155" s="239"/>
      <c r="L155" s="240">
        <f t="shared" ref="L155" si="123">K155*F155</f>
        <v>0</v>
      </c>
      <c r="M155" s="240">
        <f t="shared" si="122"/>
        <v>0</v>
      </c>
      <c r="N155" s="198"/>
      <c r="O155" s="198"/>
      <c r="P155" s="198"/>
      <c r="Q155" s="198"/>
      <c r="R155" s="198"/>
      <c r="S155" s="198"/>
    </row>
    <row r="156" spans="1:19" ht="30">
      <c r="A156" s="237"/>
      <c r="B156" s="238"/>
      <c r="C156" s="239" t="s">
        <v>945</v>
      </c>
      <c r="D156" s="239" t="s">
        <v>19</v>
      </c>
      <c r="E156" s="239"/>
      <c r="F156" s="239">
        <v>1</v>
      </c>
      <c r="G156" s="240"/>
      <c r="H156" s="240">
        <f t="shared" ref="H156:H157" si="124">G156*F156</f>
        <v>0</v>
      </c>
      <c r="I156" s="239"/>
      <c r="J156" s="239"/>
      <c r="K156" s="239"/>
      <c r="L156" s="239"/>
      <c r="M156" s="240">
        <f t="shared" si="122"/>
        <v>0</v>
      </c>
      <c r="N156" s="198"/>
      <c r="O156" s="198"/>
      <c r="P156" s="198"/>
      <c r="Q156" s="198"/>
      <c r="R156" s="198"/>
      <c r="S156" s="198"/>
    </row>
    <row r="157" spans="1:19" ht="15">
      <c r="A157" s="237"/>
      <c r="B157" s="238"/>
      <c r="C157" s="239" t="s">
        <v>21</v>
      </c>
      <c r="D157" s="239" t="s">
        <v>25</v>
      </c>
      <c r="E157" s="239">
        <v>12.5</v>
      </c>
      <c r="F157" s="239">
        <f>E157*F153</f>
        <v>12.5</v>
      </c>
      <c r="G157" s="239"/>
      <c r="H157" s="240">
        <f t="shared" si="124"/>
        <v>0</v>
      </c>
      <c r="I157" s="239"/>
      <c r="J157" s="239"/>
      <c r="K157" s="239"/>
      <c r="L157" s="239"/>
      <c r="M157" s="240">
        <f t="shared" si="122"/>
        <v>0</v>
      </c>
      <c r="N157" s="198"/>
      <c r="O157" s="198"/>
      <c r="P157" s="198"/>
      <c r="Q157" s="198"/>
      <c r="R157" s="198"/>
      <c r="S157" s="198"/>
    </row>
    <row r="158" spans="1:19" ht="45">
      <c r="A158" s="237">
        <v>7</v>
      </c>
      <c r="B158" s="238" t="s">
        <v>930</v>
      </c>
      <c r="C158" s="237" t="s">
        <v>946</v>
      </c>
      <c r="D158" s="237" t="s">
        <v>19</v>
      </c>
      <c r="E158" s="239"/>
      <c r="F158" s="239">
        <v>1</v>
      </c>
      <c r="G158" s="239"/>
      <c r="H158" s="239"/>
      <c r="I158" s="239"/>
      <c r="J158" s="239"/>
      <c r="K158" s="239"/>
      <c r="L158" s="239"/>
      <c r="M158" s="239"/>
      <c r="N158" s="198"/>
      <c r="O158" s="198"/>
      <c r="P158" s="198"/>
      <c r="Q158" s="198"/>
      <c r="R158" s="198"/>
      <c r="S158" s="198"/>
    </row>
    <row r="159" spans="1:19" ht="15">
      <c r="A159" s="237"/>
      <c r="B159" s="238"/>
      <c r="C159" s="239" t="s">
        <v>180</v>
      </c>
      <c r="D159" s="239" t="s">
        <v>19</v>
      </c>
      <c r="E159" s="239">
        <v>1</v>
      </c>
      <c r="F159" s="239">
        <f>E159*F158</f>
        <v>1</v>
      </c>
      <c r="G159" s="239"/>
      <c r="H159" s="239"/>
      <c r="I159" s="239"/>
      <c r="J159" s="239">
        <f t="shared" ref="J159" si="125">I159*F159</f>
        <v>0</v>
      </c>
      <c r="K159" s="239"/>
      <c r="L159" s="239"/>
      <c r="M159" s="239">
        <f t="shared" ref="M159:M162" si="126">L159+J159+H159</f>
        <v>0</v>
      </c>
      <c r="N159" s="198"/>
      <c r="O159" s="198"/>
      <c r="P159" s="198"/>
      <c r="Q159" s="198"/>
      <c r="R159" s="198"/>
      <c r="S159" s="198"/>
    </row>
    <row r="160" spans="1:19" ht="15">
      <c r="A160" s="237"/>
      <c r="B160" s="238"/>
      <c r="C160" s="239" t="s">
        <v>36</v>
      </c>
      <c r="D160" s="239" t="s">
        <v>25</v>
      </c>
      <c r="E160" s="239">
        <v>8.19</v>
      </c>
      <c r="F160" s="239">
        <f>E160*F158</f>
        <v>8.19</v>
      </c>
      <c r="G160" s="239"/>
      <c r="H160" s="239"/>
      <c r="I160" s="239"/>
      <c r="J160" s="239"/>
      <c r="K160" s="239"/>
      <c r="L160" s="240">
        <f t="shared" ref="L160" si="127">K160*F160</f>
        <v>0</v>
      </c>
      <c r="M160" s="240">
        <f t="shared" si="126"/>
        <v>0</v>
      </c>
      <c r="N160" s="198"/>
      <c r="O160" s="198"/>
      <c r="P160" s="198"/>
      <c r="Q160" s="198"/>
      <c r="R160" s="198"/>
      <c r="S160" s="198"/>
    </row>
    <row r="161" spans="1:19" ht="30">
      <c r="A161" s="237"/>
      <c r="B161" s="238"/>
      <c r="C161" s="239" t="s">
        <v>946</v>
      </c>
      <c r="D161" s="239" t="s">
        <v>19</v>
      </c>
      <c r="E161" s="239"/>
      <c r="F161" s="239">
        <v>1</v>
      </c>
      <c r="G161" s="240"/>
      <c r="H161" s="240">
        <f t="shared" ref="H161:H162" si="128">G161*F161</f>
        <v>0</v>
      </c>
      <c r="I161" s="239"/>
      <c r="J161" s="239"/>
      <c r="K161" s="239"/>
      <c r="L161" s="239"/>
      <c r="M161" s="240">
        <f t="shared" si="126"/>
        <v>0</v>
      </c>
      <c r="N161" s="198"/>
      <c r="O161" s="198"/>
      <c r="P161" s="198"/>
      <c r="Q161" s="198"/>
      <c r="R161" s="198"/>
      <c r="S161" s="198"/>
    </row>
    <row r="162" spans="1:19" ht="15">
      <c r="A162" s="237"/>
      <c r="B162" s="238"/>
      <c r="C162" s="239" t="s">
        <v>21</v>
      </c>
      <c r="D162" s="239" t="s">
        <v>25</v>
      </c>
      <c r="E162" s="239">
        <v>12.5</v>
      </c>
      <c r="F162" s="239">
        <f>E162*F158</f>
        <v>12.5</v>
      </c>
      <c r="G162" s="239"/>
      <c r="H162" s="240">
        <f t="shared" si="128"/>
        <v>0</v>
      </c>
      <c r="I162" s="239"/>
      <c r="J162" s="239"/>
      <c r="K162" s="239"/>
      <c r="L162" s="239"/>
      <c r="M162" s="240">
        <f t="shared" si="126"/>
        <v>0</v>
      </c>
      <c r="N162" s="198"/>
      <c r="O162" s="198"/>
      <c r="P162" s="198"/>
      <c r="Q162" s="198"/>
      <c r="R162" s="198"/>
      <c r="S162" s="198"/>
    </row>
    <row r="163" spans="1:19" ht="45">
      <c r="A163" s="237">
        <v>8</v>
      </c>
      <c r="B163" s="238" t="s">
        <v>930</v>
      </c>
      <c r="C163" s="237" t="s">
        <v>947</v>
      </c>
      <c r="D163" s="237" t="s">
        <v>19</v>
      </c>
      <c r="E163" s="239"/>
      <c r="F163" s="239">
        <v>1</v>
      </c>
      <c r="G163" s="239"/>
      <c r="H163" s="239"/>
      <c r="I163" s="239"/>
      <c r="J163" s="239"/>
      <c r="K163" s="239"/>
      <c r="L163" s="239"/>
      <c r="M163" s="239"/>
      <c r="N163" s="198"/>
      <c r="O163" s="198"/>
      <c r="P163" s="198"/>
      <c r="Q163" s="198"/>
      <c r="R163" s="198"/>
      <c r="S163" s="198"/>
    </row>
    <row r="164" spans="1:19" ht="15">
      <c r="A164" s="237"/>
      <c r="B164" s="238"/>
      <c r="C164" s="239" t="s">
        <v>180</v>
      </c>
      <c r="D164" s="239" t="s">
        <v>19</v>
      </c>
      <c r="E164" s="239">
        <v>1</v>
      </c>
      <c r="F164" s="239">
        <f>E164*F163</f>
        <v>1</v>
      </c>
      <c r="G164" s="239"/>
      <c r="H164" s="239"/>
      <c r="I164" s="239"/>
      <c r="J164" s="239">
        <f t="shared" ref="J164" si="129">I164*F164</f>
        <v>0</v>
      </c>
      <c r="K164" s="239"/>
      <c r="L164" s="239"/>
      <c r="M164" s="239">
        <f t="shared" ref="M164:M167" si="130">L164+J164+H164</f>
        <v>0</v>
      </c>
      <c r="N164" s="198"/>
      <c r="O164" s="198"/>
      <c r="P164" s="198"/>
      <c r="Q164" s="198"/>
      <c r="R164" s="198"/>
      <c r="S164" s="198"/>
    </row>
    <row r="165" spans="1:19" ht="15">
      <c r="A165" s="237"/>
      <c r="B165" s="238"/>
      <c r="C165" s="239" t="s">
        <v>36</v>
      </c>
      <c r="D165" s="239" t="s">
        <v>25</v>
      </c>
      <c r="E165" s="239">
        <v>8.19</v>
      </c>
      <c r="F165" s="239">
        <f>E165*F163</f>
        <v>8.19</v>
      </c>
      <c r="G165" s="239"/>
      <c r="H165" s="239"/>
      <c r="I165" s="239"/>
      <c r="J165" s="239"/>
      <c r="K165" s="239"/>
      <c r="L165" s="240">
        <f t="shared" ref="L165" si="131">K165*F165</f>
        <v>0</v>
      </c>
      <c r="M165" s="240">
        <f t="shared" si="130"/>
        <v>0</v>
      </c>
      <c r="N165" s="198"/>
      <c r="O165" s="198"/>
      <c r="P165" s="198"/>
      <c r="Q165" s="198"/>
      <c r="R165" s="198"/>
      <c r="S165" s="198"/>
    </row>
    <row r="166" spans="1:19" ht="30">
      <c r="A166" s="237"/>
      <c r="B166" s="238"/>
      <c r="C166" s="239" t="s">
        <v>926</v>
      </c>
      <c r="D166" s="239" t="s">
        <v>19</v>
      </c>
      <c r="E166" s="239"/>
      <c r="F166" s="239">
        <v>1</v>
      </c>
      <c r="G166" s="240"/>
      <c r="H166" s="240">
        <f t="shared" ref="H166:H167" si="132">G166*F166</f>
        <v>0</v>
      </c>
      <c r="I166" s="239"/>
      <c r="J166" s="239"/>
      <c r="K166" s="239"/>
      <c r="L166" s="239"/>
      <c r="M166" s="240">
        <f t="shared" si="130"/>
        <v>0</v>
      </c>
      <c r="N166" s="198"/>
      <c r="O166" s="198"/>
      <c r="P166" s="198"/>
      <c r="Q166" s="198"/>
      <c r="R166" s="198"/>
      <c r="S166" s="198"/>
    </row>
    <row r="167" spans="1:19" ht="15">
      <c r="A167" s="237"/>
      <c r="B167" s="238"/>
      <c r="C167" s="239" t="s">
        <v>21</v>
      </c>
      <c r="D167" s="239" t="s">
        <v>25</v>
      </c>
      <c r="E167" s="239">
        <v>12.5</v>
      </c>
      <c r="F167" s="239">
        <f>E167*F163</f>
        <v>12.5</v>
      </c>
      <c r="G167" s="239"/>
      <c r="H167" s="240">
        <f t="shared" si="132"/>
        <v>0</v>
      </c>
      <c r="I167" s="239"/>
      <c r="J167" s="239"/>
      <c r="K167" s="239"/>
      <c r="L167" s="239"/>
      <c r="M167" s="240">
        <f t="shared" si="130"/>
        <v>0</v>
      </c>
      <c r="N167" s="198"/>
      <c r="O167" s="198"/>
      <c r="P167" s="198"/>
      <c r="Q167" s="198"/>
      <c r="R167" s="198"/>
      <c r="S167" s="198"/>
    </row>
    <row r="168" spans="1:19" ht="45">
      <c r="A168" s="237">
        <v>9</v>
      </c>
      <c r="B168" s="238" t="s">
        <v>930</v>
      </c>
      <c r="C168" s="237" t="s">
        <v>948</v>
      </c>
      <c r="D168" s="237" t="s">
        <v>19</v>
      </c>
      <c r="E168" s="239"/>
      <c r="F168" s="239">
        <v>3</v>
      </c>
      <c r="G168" s="239"/>
      <c r="H168" s="239"/>
      <c r="I168" s="239"/>
      <c r="J168" s="239"/>
      <c r="K168" s="239"/>
      <c r="L168" s="239"/>
      <c r="M168" s="239"/>
      <c r="N168" s="198"/>
      <c r="O168" s="198"/>
      <c r="P168" s="198"/>
      <c r="Q168" s="198"/>
      <c r="R168" s="198"/>
      <c r="S168" s="198"/>
    </row>
    <row r="169" spans="1:19" ht="15">
      <c r="A169" s="237"/>
      <c r="B169" s="238"/>
      <c r="C169" s="239" t="s">
        <v>180</v>
      </c>
      <c r="D169" s="239" t="s">
        <v>19</v>
      </c>
      <c r="E169" s="239">
        <v>1</v>
      </c>
      <c r="F169" s="239">
        <f>E169*F168</f>
        <v>3</v>
      </c>
      <c r="G169" s="239"/>
      <c r="H169" s="239"/>
      <c r="I169" s="239"/>
      <c r="J169" s="239">
        <f t="shared" ref="J169" si="133">I169*F169</f>
        <v>0</v>
      </c>
      <c r="K169" s="239"/>
      <c r="L169" s="239"/>
      <c r="M169" s="239">
        <f t="shared" ref="M169:M172" si="134">L169+J169+H169</f>
        <v>0</v>
      </c>
      <c r="N169" s="198"/>
      <c r="O169" s="198"/>
      <c r="P169" s="198"/>
      <c r="Q169" s="198"/>
      <c r="R169" s="198"/>
      <c r="S169" s="198"/>
    </row>
    <row r="170" spans="1:19" ht="15">
      <c r="A170" s="237"/>
      <c r="B170" s="238"/>
      <c r="C170" s="239" t="s">
        <v>36</v>
      </c>
      <c r="D170" s="239" t="s">
        <v>25</v>
      </c>
      <c r="E170" s="239">
        <v>8.19</v>
      </c>
      <c r="F170" s="239">
        <f>E170*F168</f>
        <v>24.57</v>
      </c>
      <c r="G170" s="239"/>
      <c r="H170" s="239"/>
      <c r="I170" s="239"/>
      <c r="J170" s="239"/>
      <c r="K170" s="239"/>
      <c r="L170" s="240">
        <f t="shared" ref="L170" si="135">K170*F170</f>
        <v>0</v>
      </c>
      <c r="M170" s="240">
        <f t="shared" si="134"/>
        <v>0</v>
      </c>
      <c r="N170" s="198"/>
      <c r="O170" s="198"/>
      <c r="P170" s="198"/>
      <c r="Q170" s="198"/>
      <c r="R170" s="198"/>
      <c r="S170" s="198"/>
    </row>
    <row r="171" spans="1:19" ht="30">
      <c r="A171" s="237"/>
      <c r="B171" s="238"/>
      <c r="C171" s="239" t="s">
        <v>926</v>
      </c>
      <c r="D171" s="239" t="s">
        <v>19</v>
      </c>
      <c r="E171" s="239"/>
      <c r="F171" s="239">
        <v>3</v>
      </c>
      <c r="G171" s="240"/>
      <c r="H171" s="240">
        <f t="shared" ref="H171:H172" si="136">G171*F171</f>
        <v>0</v>
      </c>
      <c r="I171" s="239"/>
      <c r="J171" s="239"/>
      <c r="K171" s="239"/>
      <c r="L171" s="239"/>
      <c r="M171" s="240">
        <f t="shared" si="134"/>
        <v>0</v>
      </c>
      <c r="N171" s="198"/>
      <c r="O171" s="198"/>
      <c r="P171" s="198"/>
      <c r="Q171" s="198"/>
      <c r="R171" s="198"/>
      <c r="S171" s="198"/>
    </row>
    <row r="172" spans="1:19" ht="15">
      <c r="A172" s="237"/>
      <c r="B172" s="238"/>
      <c r="C172" s="239" t="s">
        <v>21</v>
      </c>
      <c r="D172" s="239" t="s">
        <v>25</v>
      </c>
      <c r="E172" s="239">
        <v>12.5</v>
      </c>
      <c r="F172" s="239">
        <f>E172*F168</f>
        <v>37.5</v>
      </c>
      <c r="G172" s="239"/>
      <c r="H172" s="240">
        <f t="shared" si="136"/>
        <v>0</v>
      </c>
      <c r="I172" s="239"/>
      <c r="J172" s="239"/>
      <c r="K172" s="239"/>
      <c r="L172" s="239"/>
      <c r="M172" s="240">
        <f t="shared" si="134"/>
        <v>0</v>
      </c>
      <c r="N172" s="198"/>
      <c r="O172" s="198"/>
      <c r="P172" s="198"/>
      <c r="Q172" s="198"/>
      <c r="R172" s="198"/>
      <c r="S172" s="198"/>
    </row>
    <row r="173" spans="1:19" ht="15">
      <c r="A173" s="237">
        <v>10</v>
      </c>
      <c r="B173" s="238" t="s">
        <v>901</v>
      </c>
      <c r="C173" s="237" t="s">
        <v>906</v>
      </c>
      <c r="D173" s="237" t="s">
        <v>19</v>
      </c>
      <c r="E173" s="239"/>
      <c r="F173" s="239">
        <f>F176+F177+F178+F179+F180+F181+F182+F183</f>
        <v>27</v>
      </c>
      <c r="G173" s="239"/>
      <c r="H173" s="239"/>
      <c r="I173" s="239"/>
      <c r="J173" s="239"/>
      <c r="K173" s="239"/>
      <c r="L173" s="239"/>
      <c r="M173" s="239"/>
      <c r="N173" s="198"/>
      <c r="O173" s="198"/>
      <c r="P173" s="198"/>
      <c r="Q173" s="198"/>
      <c r="R173" s="198"/>
      <c r="S173" s="198"/>
    </row>
    <row r="174" spans="1:19" ht="15">
      <c r="A174" s="237"/>
      <c r="B174" s="238"/>
      <c r="C174" s="239" t="s">
        <v>180</v>
      </c>
      <c r="D174" s="239" t="s">
        <v>19</v>
      </c>
      <c r="E174" s="239">
        <v>1</v>
      </c>
      <c r="F174" s="239">
        <f>E174*F173</f>
        <v>27</v>
      </c>
      <c r="G174" s="239"/>
      <c r="H174" s="239"/>
      <c r="I174" s="239"/>
      <c r="J174" s="239">
        <f t="shared" ref="J174" si="137">I174*F174</f>
        <v>0</v>
      </c>
      <c r="K174" s="239"/>
      <c r="L174" s="239"/>
      <c r="M174" s="239">
        <f t="shared" ref="M174:M184" si="138">L174+J174+H174</f>
        <v>0</v>
      </c>
      <c r="N174" s="198"/>
      <c r="O174" s="198"/>
      <c r="P174" s="198"/>
      <c r="Q174" s="198"/>
      <c r="R174" s="198"/>
      <c r="S174" s="198"/>
    </row>
    <row r="175" spans="1:19" ht="15">
      <c r="A175" s="237"/>
      <c r="B175" s="238"/>
      <c r="C175" s="239" t="s">
        <v>36</v>
      </c>
      <c r="D175" s="239" t="s">
        <v>25</v>
      </c>
      <c r="E175" s="239">
        <v>0.18</v>
      </c>
      <c r="F175" s="239">
        <f>E175*F173</f>
        <v>4.8599999999999994</v>
      </c>
      <c r="G175" s="239"/>
      <c r="H175" s="239"/>
      <c r="I175" s="239"/>
      <c r="J175" s="239"/>
      <c r="K175" s="239"/>
      <c r="L175" s="240">
        <f t="shared" ref="L175" si="139">K175*F175</f>
        <v>0</v>
      </c>
      <c r="M175" s="240">
        <f t="shared" si="138"/>
        <v>0</v>
      </c>
      <c r="N175" s="198"/>
      <c r="O175" s="198"/>
      <c r="P175" s="198"/>
      <c r="Q175" s="198"/>
      <c r="R175" s="198"/>
      <c r="S175" s="198"/>
    </row>
    <row r="176" spans="1:19" ht="30">
      <c r="A176" s="237"/>
      <c r="B176" s="238"/>
      <c r="C176" s="239" t="s">
        <v>949</v>
      </c>
      <c r="D176" s="239" t="s">
        <v>19</v>
      </c>
      <c r="E176" s="239"/>
      <c r="F176" s="239">
        <v>6</v>
      </c>
      <c r="G176" s="240"/>
      <c r="H176" s="240">
        <f t="shared" ref="H176:H184" si="140">G176*F176</f>
        <v>0</v>
      </c>
      <c r="I176" s="239"/>
      <c r="J176" s="239"/>
      <c r="K176" s="239"/>
      <c r="L176" s="239"/>
      <c r="M176" s="240">
        <f t="shared" si="138"/>
        <v>0</v>
      </c>
      <c r="N176" s="198"/>
      <c r="O176" s="198"/>
      <c r="P176" s="198"/>
      <c r="Q176" s="198"/>
      <c r="R176" s="198"/>
      <c r="S176" s="198"/>
    </row>
    <row r="177" spans="1:19" ht="30">
      <c r="A177" s="237"/>
      <c r="B177" s="238"/>
      <c r="C177" s="239" t="s">
        <v>950</v>
      </c>
      <c r="D177" s="239" t="s">
        <v>19</v>
      </c>
      <c r="E177" s="239"/>
      <c r="F177" s="239">
        <v>4</v>
      </c>
      <c r="G177" s="240"/>
      <c r="H177" s="240">
        <f t="shared" si="140"/>
        <v>0</v>
      </c>
      <c r="I177" s="239"/>
      <c r="J177" s="239"/>
      <c r="K177" s="239"/>
      <c r="L177" s="239"/>
      <c r="M177" s="240">
        <f t="shared" si="138"/>
        <v>0</v>
      </c>
      <c r="N177" s="198"/>
      <c r="O177" s="198"/>
      <c r="P177" s="198"/>
      <c r="Q177" s="198"/>
      <c r="R177" s="198"/>
      <c r="S177" s="198"/>
    </row>
    <row r="178" spans="1:19" ht="30">
      <c r="A178" s="237"/>
      <c r="B178" s="238"/>
      <c r="C178" s="239" t="s">
        <v>951</v>
      </c>
      <c r="D178" s="239" t="s">
        <v>19</v>
      </c>
      <c r="E178" s="239"/>
      <c r="F178" s="239">
        <v>5</v>
      </c>
      <c r="G178" s="240"/>
      <c r="H178" s="240">
        <f t="shared" si="140"/>
        <v>0</v>
      </c>
      <c r="I178" s="239"/>
      <c r="J178" s="239"/>
      <c r="K178" s="239"/>
      <c r="L178" s="239"/>
      <c r="M178" s="240">
        <f t="shared" si="138"/>
        <v>0</v>
      </c>
      <c r="N178" s="198"/>
      <c r="O178" s="198"/>
      <c r="P178" s="198"/>
      <c r="Q178" s="198"/>
      <c r="R178" s="198"/>
      <c r="S178" s="198"/>
    </row>
    <row r="179" spans="1:19" ht="30">
      <c r="A179" s="237"/>
      <c r="B179" s="238"/>
      <c r="C179" s="239" t="s">
        <v>952</v>
      </c>
      <c r="D179" s="239" t="s">
        <v>19</v>
      </c>
      <c r="E179" s="239"/>
      <c r="F179" s="239">
        <v>4</v>
      </c>
      <c r="G179" s="240"/>
      <c r="H179" s="240">
        <f t="shared" si="140"/>
        <v>0</v>
      </c>
      <c r="I179" s="239"/>
      <c r="J179" s="239"/>
      <c r="K179" s="239"/>
      <c r="L179" s="239"/>
      <c r="M179" s="240">
        <f t="shared" si="138"/>
        <v>0</v>
      </c>
      <c r="N179" s="198"/>
      <c r="O179" s="198"/>
      <c r="P179" s="198"/>
      <c r="Q179" s="198"/>
      <c r="R179" s="198"/>
      <c r="S179" s="198"/>
    </row>
    <row r="180" spans="1:19" ht="30">
      <c r="A180" s="237"/>
      <c r="B180" s="238"/>
      <c r="C180" s="239" t="s">
        <v>953</v>
      </c>
      <c r="D180" s="239" t="s">
        <v>19</v>
      </c>
      <c r="E180" s="239"/>
      <c r="F180" s="239">
        <v>3</v>
      </c>
      <c r="G180" s="240"/>
      <c r="H180" s="240">
        <f t="shared" si="140"/>
        <v>0</v>
      </c>
      <c r="I180" s="239"/>
      <c r="J180" s="239"/>
      <c r="K180" s="239"/>
      <c r="L180" s="239"/>
      <c r="M180" s="240">
        <f t="shared" si="138"/>
        <v>0</v>
      </c>
      <c r="N180" s="198"/>
      <c r="O180" s="198"/>
      <c r="P180" s="198"/>
      <c r="Q180" s="198"/>
      <c r="R180" s="198"/>
      <c r="S180" s="198"/>
    </row>
    <row r="181" spans="1:19" ht="30">
      <c r="A181" s="237"/>
      <c r="B181" s="238"/>
      <c r="C181" s="239" t="s">
        <v>954</v>
      </c>
      <c r="D181" s="239" t="s">
        <v>19</v>
      </c>
      <c r="E181" s="239"/>
      <c r="F181" s="239">
        <v>2</v>
      </c>
      <c r="G181" s="240"/>
      <c r="H181" s="240">
        <f t="shared" si="140"/>
        <v>0</v>
      </c>
      <c r="I181" s="239"/>
      <c r="J181" s="239"/>
      <c r="K181" s="239"/>
      <c r="L181" s="239"/>
      <c r="M181" s="240">
        <f t="shared" si="138"/>
        <v>0</v>
      </c>
      <c r="N181" s="198"/>
      <c r="O181" s="198"/>
      <c r="P181" s="198"/>
      <c r="Q181" s="198"/>
      <c r="R181" s="198"/>
      <c r="S181" s="198"/>
    </row>
    <row r="182" spans="1:19" ht="30">
      <c r="A182" s="237"/>
      <c r="B182" s="238"/>
      <c r="C182" s="239" t="s">
        <v>955</v>
      </c>
      <c r="D182" s="239" t="s">
        <v>19</v>
      </c>
      <c r="E182" s="239"/>
      <c r="F182" s="239">
        <v>2</v>
      </c>
      <c r="G182" s="240"/>
      <c r="H182" s="240">
        <f t="shared" si="140"/>
        <v>0</v>
      </c>
      <c r="I182" s="239"/>
      <c r="J182" s="239"/>
      <c r="K182" s="239"/>
      <c r="L182" s="239"/>
      <c r="M182" s="240">
        <f t="shared" si="138"/>
        <v>0</v>
      </c>
      <c r="N182" s="198"/>
      <c r="O182" s="198"/>
      <c r="P182" s="198"/>
      <c r="Q182" s="198"/>
      <c r="R182" s="198"/>
      <c r="S182" s="198"/>
    </row>
    <row r="183" spans="1:19" ht="30">
      <c r="A183" s="237"/>
      <c r="B183" s="238"/>
      <c r="C183" s="239" t="s">
        <v>956</v>
      </c>
      <c r="D183" s="239" t="s">
        <v>19</v>
      </c>
      <c r="E183" s="239"/>
      <c r="F183" s="239">
        <v>1</v>
      </c>
      <c r="G183" s="240"/>
      <c r="H183" s="240">
        <f t="shared" si="140"/>
        <v>0</v>
      </c>
      <c r="I183" s="239"/>
      <c r="J183" s="239"/>
      <c r="K183" s="239"/>
      <c r="L183" s="239"/>
      <c r="M183" s="240">
        <f t="shared" si="138"/>
        <v>0</v>
      </c>
      <c r="N183" s="198"/>
      <c r="O183" s="198"/>
      <c r="P183" s="198"/>
      <c r="Q183" s="198"/>
      <c r="R183" s="198"/>
      <c r="S183" s="198"/>
    </row>
    <row r="184" spans="1:19" ht="15">
      <c r="A184" s="237"/>
      <c r="B184" s="238"/>
      <c r="C184" s="239" t="s">
        <v>21</v>
      </c>
      <c r="D184" s="239" t="s">
        <v>25</v>
      </c>
      <c r="E184" s="239">
        <v>0.91</v>
      </c>
      <c r="F184" s="239">
        <f>E184*F173</f>
        <v>24.57</v>
      </c>
      <c r="G184" s="239"/>
      <c r="H184" s="240">
        <f t="shared" si="140"/>
        <v>0</v>
      </c>
      <c r="I184" s="239"/>
      <c r="J184" s="239"/>
      <c r="K184" s="239"/>
      <c r="L184" s="239"/>
      <c r="M184" s="240">
        <f t="shared" si="138"/>
        <v>0</v>
      </c>
      <c r="N184" s="198"/>
      <c r="O184" s="198"/>
      <c r="P184" s="198"/>
      <c r="Q184" s="198"/>
      <c r="R184" s="198"/>
      <c r="S184" s="198"/>
    </row>
    <row r="185" spans="1:19" ht="15">
      <c r="A185" s="237"/>
      <c r="B185" s="238"/>
      <c r="C185" s="239" t="s">
        <v>966</v>
      </c>
      <c r="D185" s="239" t="s">
        <v>19</v>
      </c>
      <c r="E185" s="239"/>
      <c r="F185" s="239">
        <v>1</v>
      </c>
      <c r="G185" s="240"/>
      <c r="H185" s="240">
        <f t="shared" ref="H185:H192" si="141">G185*F185</f>
        <v>0</v>
      </c>
      <c r="I185" s="239"/>
      <c r="J185" s="239"/>
      <c r="K185" s="239"/>
      <c r="L185" s="239"/>
      <c r="M185" s="240">
        <f t="shared" ref="M185:M192" si="142">L185+J185+H185</f>
        <v>0</v>
      </c>
      <c r="N185" s="198"/>
      <c r="O185" s="198"/>
      <c r="P185" s="198"/>
      <c r="Q185" s="198"/>
      <c r="R185" s="198"/>
      <c r="S185" s="198"/>
    </row>
    <row r="186" spans="1:19" ht="15">
      <c r="A186" s="237"/>
      <c r="B186" s="238"/>
      <c r="C186" s="239" t="s">
        <v>967</v>
      </c>
      <c r="D186" s="239" t="s">
        <v>19</v>
      </c>
      <c r="E186" s="239"/>
      <c r="F186" s="239">
        <v>1</v>
      </c>
      <c r="G186" s="240"/>
      <c r="H186" s="240">
        <f t="shared" si="141"/>
        <v>0</v>
      </c>
      <c r="I186" s="239"/>
      <c r="J186" s="239"/>
      <c r="K186" s="239"/>
      <c r="L186" s="239"/>
      <c r="M186" s="240">
        <f t="shared" si="142"/>
        <v>0</v>
      </c>
      <c r="N186" s="198"/>
      <c r="O186" s="198"/>
      <c r="P186" s="198"/>
      <c r="Q186" s="198"/>
      <c r="R186" s="198"/>
      <c r="S186" s="198"/>
    </row>
    <row r="187" spans="1:19" ht="15">
      <c r="A187" s="237"/>
      <c r="B187" s="238"/>
      <c r="C187" s="239" t="s">
        <v>968</v>
      </c>
      <c r="D187" s="239" t="s">
        <v>19</v>
      </c>
      <c r="E187" s="239"/>
      <c r="F187" s="239">
        <v>2</v>
      </c>
      <c r="G187" s="240"/>
      <c r="H187" s="240">
        <f t="shared" si="141"/>
        <v>0</v>
      </c>
      <c r="I187" s="239"/>
      <c r="J187" s="239"/>
      <c r="K187" s="239"/>
      <c r="L187" s="239"/>
      <c r="M187" s="240">
        <f t="shared" si="142"/>
        <v>0</v>
      </c>
      <c r="N187" s="198"/>
      <c r="O187" s="198"/>
      <c r="P187" s="198"/>
      <c r="Q187" s="198"/>
      <c r="R187" s="198"/>
      <c r="S187" s="198"/>
    </row>
    <row r="188" spans="1:19" ht="15">
      <c r="A188" s="237"/>
      <c r="B188" s="238"/>
      <c r="C188" s="239" t="s">
        <v>969</v>
      </c>
      <c r="D188" s="239" t="s">
        <v>19</v>
      </c>
      <c r="E188" s="239"/>
      <c r="F188" s="239">
        <v>1</v>
      </c>
      <c r="G188" s="240"/>
      <c r="H188" s="240">
        <f t="shared" si="141"/>
        <v>0</v>
      </c>
      <c r="I188" s="239"/>
      <c r="J188" s="239"/>
      <c r="K188" s="239"/>
      <c r="L188" s="239"/>
      <c r="M188" s="240">
        <f t="shared" si="142"/>
        <v>0</v>
      </c>
      <c r="N188" s="198"/>
      <c r="O188" s="198"/>
      <c r="P188" s="198"/>
      <c r="Q188" s="198"/>
      <c r="R188" s="198"/>
      <c r="S188" s="198"/>
    </row>
    <row r="189" spans="1:19" ht="15">
      <c r="A189" s="237"/>
      <c r="B189" s="238"/>
      <c r="C189" s="239" t="s">
        <v>970</v>
      </c>
      <c r="D189" s="239" t="s">
        <v>19</v>
      </c>
      <c r="E189" s="239"/>
      <c r="F189" s="239">
        <v>1</v>
      </c>
      <c r="G189" s="240"/>
      <c r="H189" s="240">
        <f t="shared" si="141"/>
        <v>0</v>
      </c>
      <c r="I189" s="239"/>
      <c r="J189" s="239"/>
      <c r="K189" s="239"/>
      <c r="L189" s="239"/>
      <c r="M189" s="240">
        <f t="shared" si="142"/>
        <v>0</v>
      </c>
      <c r="N189" s="198"/>
      <c r="O189" s="198"/>
      <c r="P189" s="198"/>
      <c r="Q189" s="198"/>
      <c r="R189" s="198"/>
      <c r="S189" s="198"/>
    </row>
    <row r="190" spans="1:19" ht="15">
      <c r="A190" s="237"/>
      <c r="B190" s="238"/>
      <c r="C190" s="239" t="s">
        <v>971</v>
      </c>
      <c r="D190" s="239" t="s">
        <v>19</v>
      </c>
      <c r="E190" s="239"/>
      <c r="F190" s="239">
        <v>1</v>
      </c>
      <c r="G190" s="240"/>
      <c r="H190" s="240">
        <f t="shared" si="141"/>
        <v>0</v>
      </c>
      <c r="I190" s="239"/>
      <c r="J190" s="239"/>
      <c r="K190" s="239"/>
      <c r="L190" s="239"/>
      <c r="M190" s="240">
        <f t="shared" si="142"/>
        <v>0</v>
      </c>
      <c r="N190" s="198"/>
      <c r="O190" s="198"/>
      <c r="P190" s="198"/>
      <c r="Q190" s="198"/>
      <c r="R190" s="198"/>
      <c r="S190" s="198"/>
    </row>
    <row r="191" spans="1:19" ht="15">
      <c r="A191" s="237"/>
      <c r="B191" s="238"/>
      <c r="C191" s="239" t="s">
        <v>972</v>
      </c>
      <c r="D191" s="239" t="s">
        <v>19</v>
      </c>
      <c r="E191" s="239"/>
      <c r="F191" s="239">
        <v>1</v>
      </c>
      <c r="G191" s="240"/>
      <c r="H191" s="240">
        <f t="shared" si="141"/>
        <v>0</v>
      </c>
      <c r="I191" s="239"/>
      <c r="J191" s="239"/>
      <c r="K191" s="239"/>
      <c r="L191" s="239"/>
      <c r="M191" s="240">
        <f t="shared" si="142"/>
        <v>0</v>
      </c>
      <c r="N191" s="198"/>
      <c r="O191" s="198"/>
      <c r="P191" s="198"/>
      <c r="Q191" s="198"/>
      <c r="R191" s="198"/>
      <c r="S191" s="198"/>
    </row>
    <row r="192" spans="1:19" ht="15">
      <c r="A192" s="237"/>
      <c r="B192" s="238"/>
      <c r="C192" s="239" t="s">
        <v>973</v>
      </c>
      <c r="D192" s="239" t="s">
        <v>19</v>
      </c>
      <c r="E192" s="239"/>
      <c r="F192" s="239">
        <v>1</v>
      </c>
      <c r="G192" s="240"/>
      <c r="H192" s="240">
        <f t="shared" si="141"/>
        <v>0</v>
      </c>
      <c r="I192" s="239"/>
      <c r="J192" s="239"/>
      <c r="K192" s="239"/>
      <c r="L192" s="239"/>
      <c r="M192" s="240">
        <f t="shared" si="142"/>
        <v>0</v>
      </c>
      <c r="N192" s="198"/>
      <c r="O192" s="198"/>
      <c r="P192" s="198"/>
      <c r="Q192" s="198"/>
      <c r="R192" s="198"/>
      <c r="S192" s="198"/>
    </row>
    <row r="193" spans="1:19" ht="15">
      <c r="A193" s="237"/>
      <c r="B193" s="238"/>
      <c r="C193" s="239" t="s">
        <v>974</v>
      </c>
      <c r="D193" s="239" t="s">
        <v>19</v>
      </c>
      <c r="E193" s="239"/>
      <c r="F193" s="239">
        <v>2</v>
      </c>
      <c r="G193" s="240"/>
      <c r="H193" s="240">
        <f t="shared" ref="H193" si="143">G193*F193</f>
        <v>0</v>
      </c>
      <c r="I193" s="239"/>
      <c r="J193" s="239"/>
      <c r="K193" s="239"/>
      <c r="L193" s="239"/>
      <c r="M193" s="240">
        <f t="shared" ref="M193" si="144">L193+J193+H193</f>
        <v>0</v>
      </c>
      <c r="N193" s="198"/>
      <c r="O193" s="198"/>
      <c r="P193" s="198"/>
      <c r="Q193" s="198"/>
      <c r="R193" s="198"/>
      <c r="S193" s="198"/>
    </row>
    <row r="194" spans="1:19" ht="15">
      <c r="A194" s="237">
        <v>11</v>
      </c>
      <c r="B194" s="238" t="s">
        <v>891</v>
      </c>
      <c r="C194" s="237" t="s">
        <v>975</v>
      </c>
      <c r="D194" s="237" t="s">
        <v>19</v>
      </c>
      <c r="E194" s="239"/>
      <c r="F194" s="239">
        <f>F197+F198+F199+F200+F201+F202+F203</f>
        <v>28</v>
      </c>
      <c r="G194" s="239"/>
      <c r="H194" s="239"/>
      <c r="I194" s="239"/>
      <c r="J194" s="239"/>
      <c r="K194" s="239"/>
      <c r="L194" s="239"/>
      <c r="M194" s="239"/>
      <c r="N194" s="198"/>
      <c r="O194" s="198"/>
      <c r="P194" s="198"/>
      <c r="Q194" s="198"/>
      <c r="R194" s="198"/>
      <c r="S194" s="198"/>
    </row>
    <row r="195" spans="1:19" ht="15">
      <c r="A195" s="237"/>
      <c r="B195" s="238"/>
      <c r="C195" s="239" t="s">
        <v>180</v>
      </c>
      <c r="D195" s="239" t="s">
        <v>19</v>
      </c>
      <c r="E195" s="239">
        <v>1</v>
      </c>
      <c r="F195" s="239">
        <f>E195*F194</f>
        <v>28</v>
      </c>
      <c r="G195" s="239"/>
      <c r="H195" s="239"/>
      <c r="I195" s="239"/>
      <c r="J195" s="239">
        <f t="shared" ref="J195" si="145">I195*F195</f>
        <v>0</v>
      </c>
      <c r="K195" s="239"/>
      <c r="L195" s="239"/>
      <c r="M195" s="239">
        <f t="shared" ref="M195:M204" si="146">L195+J195+H195</f>
        <v>0</v>
      </c>
      <c r="N195" s="198"/>
      <c r="O195" s="198"/>
      <c r="P195" s="198"/>
      <c r="Q195" s="198"/>
      <c r="R195" s="198"/>
      <c r="S195" s="198"/>
    </row>
    <row r="196" spans="1:19" ht="15">
      <c r="A196" s="237"/>
      <c r="B196" s="238"/>
      <c r="C196" s="239" t="s">
        <v>36</v>
      </c>
      <c r="D196" s="239" t="s">
        <v>25</v>
      </c>
      <c r="E196" s="239">
        <v>0.1</v>
      </c>
      <c r="F196" s="239">
        <f>E196*F194</f>
        <v>2.8000000000000003</v>
      </c>
      <c r="G196" s="239"/>
      <c r="H196" s="239"/>
      <c r="I196" s="239"/>
      <c r="J196" s="239"/>
      <c r="K196" s="239"/>
      <c r="L196" s="240">
        <f t="shared" ref="L196" si="147">K196*F196</f>
        <v>0</v>
      </c>
      <c r="M196" s="240">
        <f t="shared" si="146"/>
        <v>0</v>
      </c>
      <c r="N196" s="198"/>
      <c r="O196" s="198"/>
      <c r="P196" s="198"/>
      <c r="Q196" s="198"/>
      <c r="R196" s="198"/>
      <c r="S196" s="198"/>
    </row>
    <row r="197" spans="1:19" ht="15">
      <c r="A197" s="237"/>
      <c r="B197" s="238"/>
      <c r="C197" s="239" t="s">
        <v>976</v>
      </c>
      <c r="D197" s="239" t="s">
        <v>19</v>
      </c>
      <c r="E197" s="239"/>
      <c r="F197" s="239">
        <v>5</v>
      </c>
      <c r="G197" s="240"/>
      <c r="H197" s="240">
        <f t="shared" ref="H197:H204" si="148">G197*F197</f>
        <v>0</v>
      </c>
      <c r="I197" s="239"/>
      <c r="J197" s="239"/>
      <c r="K197" s="239"/>
      <c r="L197" s="239"/>
      <c r="M197" s="240">
        <f t="shared" si="146"/>
        <v>0</v>
      </c>
      <c r="N197" s="198"/>
      <c r="O197" s="198"/>
      <c r="P197" s="198"/>
      <c r="Q197" s="198"/>
      <c r="R197" s="198"/>
      <c r="S197" s="198"/>
    </row>
    <row r="198" spans="1:19" ht="15">
      <c r="A198" s="237"/>
      <c r="B198" s="238"/>
      <c r="C198" s="239" t="s">
        <v>977</v>
      </c>
      <c r="D198" s="239" t="s">
        <v>19</v>
      </c>
      <c r="E198" s="239"/>
      <c r="F198" s="239">
        <v>6</v>
      </c>
      <c r="G198" s="240"/>
      <c r="H198" s="240">
        <f t="shared" si="148"/>
        <v>0</v>
      </c>
      <c r="I198" s="239"/>
      <c r="J198" s="239"/>
      <c r="K198" s="239"/>
      <c r="L198" s="239"/>
      <c r="M198" s="240">
        <f t="shared" si="146"/>
        <v>0</v>
      </c>
      <c r="N198" s="198"/>
      <c r="O198" s="198"/>
      <c r="P198" s="198"/>
      <c r="Q198" s="198"/>
      <c r="R198" s="198"/>
      <c r="S198" s="198"/>
    </row>
    <row r="199" spans="1:19" ht="15">
      <c r="A199" s="237"/>
      <c r="B199" s="238"/>
      <c r="C199" s="239" t="s">
        <v>978</v>
      </c>
      <c r="D199" s="239" t="s">
        <v>19</v>
      </c>
      <c r="E199" s="239"/>
      <c r="F199" s="239">
        <v>8</v>
      </c>
      <c r="G199" s="240"/>
      <c r="H199" s="240">
        <f t="shared" si="148"/>
        <v>0</v>
      </c>
      <c r="I199" s="239"/>
      <c r="J199" s="239"/>
      <c r="K199" s="239"/>
      <c r="L199" s="239"/>
      <c r="M199" s="240">
        <f t="shared" si="146"/>
        <v>0</v>
      </c>
      <c r="N199" s="198"/>
      <c r="O199" s="198"/>
      <c r="P199" s="198"/>
      <c r="Q199" s="198"/>
      <c r="R199" s="198"/>
      <c r="S199" s="198"/>
    </row>
    <row r="200" spans="1:19" ht="15">
      <c r="A200" s="237"/>
      <c r="B200" s="238"/>
      <c r="C200" s="239" t="s">
        <v>979</v>
      </c>
      <c r="D200" s="239" t="s">
        <v>19</v>
      </c>
      <c r="E200" s="239"/>
      <c r="F200" s="239">
        <v>4</v>
      </c>
      <c r="G200" s="240"/>
      <c r="H200" s="240">
        <f t="shared" si="148"/>
        <v>0</v>
      </c>
      <c r="I200" s="239"/>
      <c r="J200" s="239"/>
      <c r="K200" s="239"/>
      <c r="L200" s="239"/>
      <c r="M200" s="240">
        <f t="shared" si="146"/>
        <v>0</v>
      </c>
      <c r="N200" s="198"/>
      <c r="O200" s="198"/>
      <c r="P200" s="198"/>
      <c r="Q200" s="198"/>
      <c r="R200" s="198"/>
      <c r="S200" s="198"/>
    </row>
    <row r="201" spans="1:19" ht="15">
      <c r="A201" s="237"/>
      <c r="B201" s="238"/>
      <c r="C201" s="239" t="s">
        <v>980</v>
      </c>
      <c r="D201" s="239" t="s">
        <v>19</v>
      </c>
      <c r="E201" s="239"/>
      <c r="F201" s="239">
        <v>2</v>
      </c>
      <c r="G201" s="240"/>
      <c r="H201" s="240">
        <f t="shared" si="148"/>
        <v>0</v>
      </c>
      <c r="I201" s="239"/>
      <c r="J201" s="239"/>
      <c r="K201" s="239"/>
      <c r="L201" s="239"/>
      <c r="M201" s="240">
        <f t="shared" si="146"/>
        <v>0</v>
      </c>
      <c r="N201" s="198"/>
      <c r="O201" s="198"/>
      <c r="P201" s="198"/>
      <c r="Q201" s="198"/>
      <c r="R201" s="198"/>
      <c r="S201" s="198"/>
    </row>
    <row r="202" spans="1:19" ht="15">
      <c r="A202" s="237"/>
      <c r="B202" s="238"/>
      <c r="C202" s="239" t="s">
        <v>981</v>
      </c>
      <c r="D202" s="239" t="s">
        <v>19</v>
      </c>
      <c r="E202" s="239"/>
      <c r="F202" s="239">
        <v>1</v>
      </c>
      <c r="G202" s="240"/>
      <c r="H202" s="240">
        <f t="shared" ref="H202:H203" si="149">G202*F202</f>
        <v>0</v>
      </c>
      <c r="I202" s="239"/>
      <c r="J202" s="239"/>
      <c r="K202" s="239"/>
      <c r="L202" s="239"/>
      <c r="M202" s="240">
        <f t="shared" ref="M202:M203" si="150">L202+J202+H202</f>
        <v>0</v>
      </c>
      <c r="N202" s="198"/>
      <c r="O202" s="198"/>
      <c r="P202" s="198"/>
      <c r="Q202" s="198"/>
      <c r="R202" s="198"/>
      <c r="S202" s="198"/>
    </row>
    <row r="203" spans="1:19" ht="15">
      <c r="A203" s="237"/>
      <c r="B203" s="238"/>
      <c r="C203" s="239" t="s">
        <v>982</v>
      </c>
      <c r="D203" s="239" t="s">
        <v>19</v>
      </c>
      <c r="E203" s="239"/>
      <c r="F203" s="239">
        <v>2</v>
      </c>
      <c r="G203" s="240"/>
      <c r="H203" s="240">
        <f t="shared" si="149"/>
        <v>0</v>
      </c>
      <c r="I203" s="239"/>
      <c r="J203" s="239"/>
      <c r="K203" s="239"/>
      <c r="L203" s="239"/>
      <c r="M203" s="240">
        <f t="shared" si="150"/>
        <v>0</v>
      </c>
      <c r="N203" s="198"/>
      <c r="O203" s="198"/>
      <c r="P203" s="198"/>
      <c r="Q203" s="198"/>
      <c r="R203" s="198"/>
      <c r="S203" s="198"/>
    </row>
    <row r="204" spans="1:19" ht="15">
      <c r="A204" s="237"/>
      <c r="B204" s="238"/>
      <c r="C204" s="239" t="s">
        <v>21</v>
      </c>
      <c r="D204" s="239" t="s">
        <v>25</v>
      </c>
      <c r="E204" s="239">
        <v>0.38</v>
      </c>
      <c r="F204" s="239">
        <f>E204*F194</f>
        <v>10.64</v>
      </c>
      <c r="G204" s="239"/>
      <c r="H204" s="240">
        <f t="shared" si="148"/>
        <v>0</v>
      </c>
      <c r="I204" s="239"/>
      <c r="J204" s="239"/>
      <c r="K204" s="239"/>
      <c r="L204" s="239"/>
      <c r="M204" s="240">
        <f t="shared" si="146"/>
        <v>0</v>
      </c>
      <c r="N204" s="198"/>
      <c r="O204" s="198"/>
      <c r="P204" s="198"/>
      <c r="Q204" s="198"/>
      <c r="R204" s="198"/>
      <c r="S204" s="198"/>
    </row>
    <row r="205" spans="1:19" ht="15.75" thickBot="1">
      <c r="A205" s="210"/>
      <c r="B205" s="211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3"/>
      <c r="N205" s="198"/>
      <c r="O205" s="198"/>
      <c r="P205" s="198"/>
      <c r="Q205" s="198"/>
      <c r="R205" s="198"/>
      <c r="S205" s="198"/>
    </row>
    <row r="206" spans="1:19" s="220" customFormat="1" ht="15.75" thickBot="1">
      <c r="A206" s="214"/>
      <c r="B206" s="215"/>
      <c r="C206" s="216" t="s">
        <v>60</v>
      </c>
      <c r="D206" s="217"/>
      <c r="E206" s="214"/>
      <c r="F206" s="214"/>
      <c r="G206" s="214"/>
      <c r="H206" s="218">
        <f>SUM(H7:H205)</f>
        <v>0</v>
      </c>
      <c r="I206" s="214"/>
      <c r="J206" s="218">
        <f>SUM(J7:J205)</f>
        <v>0</v>
      </c>
      <c r="K206" s="214"/>
      <c r="L206" s="218">
        <f>SUM(L7:L205)</f>
        <v>0</v>
      </c>
      <c r="M206" s="218">
        <f>SUM(M7:M205)</f>
        <v>0</v>
      </c>
      <c r="N206" s="219"/>
      <c r="O206" s="219"/>
      <c r="P206" s="219"/>
      <c r="Q206" s="219"/>
      <c r="R206" s="219"/>
      <c r="S206" s="219"/>
    </row>
    <row r="207" spans="1:19" ht="15.75" thickBot="1">
      <c r="A207" s="221"/>
      <c r="B207" s="222"/>
      <c r="C207" s="223" t="s">
        <v>158</v>
      </c>
      <c r="D207" s="224">
        <v>0</v>
      </c>
      <c r="E207" s="225"/>
      <c r="F207" s="225"/>
      <c r="G207" s="225"/>
      <c r="H207" s="226">
        <f>H206*D207</f>
        <v>0</v>
      </c>
      <c r="I207" s="226"/>
      <c r="J207" s="226"/>
      <c r="K207" s="226"/>
      <c r="L207" s="226"/>
      <c r="M207" s="227">
        <f>H207</f>
        <v>0</v>
      </c>
      <c r="N207" s="198"/>
      <c r="O207" s="198"/>
      <c r="P207" s="198"/>
      <c r="Q207" s="198"/>
      <c r="R207" s="198"/>
      <c r="S207" s="198"/>
    </row>
    <row r="208" spans="1:19" ht="15.75" thickBot="1">
      <c r="A208" s="221"/>
      <c r="B208" s="222"/>
      <c r="C208" s="223" t="s">
        <v>60</v>
      </c>
      <c r="D208" s="223"/>
      <c r="E208" s="225"/>
      <c r="F208" s="225"/>
      <c r="G208" s="225"/>
      <c r="H208" s="226"/>
      <c r="I208" s="226"/>
      <c r="J208" s="226"/>
      <c r="K208" s="226"/>
      <c r="L208" s="226"/>
      <c r="M208" s="227">
        <f>M207+M206</f>
        <v>0</v>
      </c>
      <c r="N208" s="198"/>
      <c r="O208" s="198"/>
      <c r="P208" s="198"/>
      <c r="Q208" s="198"/>
      <c r="R208" s="198"/>
      <c r="S208" s="198"/>
    </row>
    <row r="209" spans="1:19" ht="15.75" thickBot="1">
      <c r="A209" s="221"/>
      <c r="B209" s="222"/>
      <c r="C209" s="228" t="s">
        <v>61</v>
      </c>
      <c r="D209" s="229">
        <v>0</v>
      </c>
      <c r="E209" s="225"/>
      <c r="F209" s="225"/>
      <c r="G209" s="225"/>
      <c r="H209" s="226"/>
      <c r="I209" s="226"/>
      <c r="J209" s="226"/>
      <c r="K209" s="226"/>
      <c r="L209" s="226"/>
      <c r="M209" s="227">
        <f>M208*D209</f>
        <v>0</v>
      </c>
      <c r="N209" s="198"/>
      <c r="O209" s="198"/>
      <c r="P209" s="198"/>
      <c r="Q209" s="198"/>
      <c r="R209" s="198"/>
      <c r="S209" s="198"/>
    </row>
    <row r="210" spans="1:19" ht="15.75" thickBot="1">
      <c r="A210" s="221"/>
      <c r="B210" s="222"/>
      <c r="C210" s="223" t="s">
        <v>60</v>
      </c>
      <c r="D210" s="223"/>
      <c r="E210" s="225"/>
      <c r="F210" s="225"/>
      <c r="G210" s="225"/>
      <c r="H210" s="226"/>
      <c r="I210" s="226"/>
      <c r="J210" s="226"/>
      <c r="K210" s="226"/>
      <c r="L210" s="226"/>
      <c r="M210" s="227">
        <f>M209+M208</f>
        <v>0</v>
      </c>
      <c r="N210" s="198"/>
      <c r="O210" s="198"/>
      <c r="P210" s="198"/>
      <c r="Q210" s="198"/>
      <c r="R210" s="198"/>
      <c r="S210" s="198"/>
    </row>
    <row r="211" spans="1:19" ht="15.75" thickBot="1">
      <c r="A211" s="221"/>
      <c r="B211" s="222"/>
      <c r="C211" s="228" t="s">
        <v>62</v>
      </c>
      <c r="D211" s="229">
        <v>0</v>
      </c>
      <c r="E211" s="225"/>
      <c r="F211" s="225"/>
      <c r="G211" s="225"/>
      <c r="H211" s="226"/>
      <c r="I211" s="226"/>
      <c r="J211" s="226"/>
      <c r="K211" s="226"/>
      <c r="L211" s="226"/>
      <c r="M211" s="227">
        <f>M210*D211</f>
        <v>0</v>
      </c>
      <c r="N211" s="198"/>
      <c r="O211" s="198"/>
      <c r="P211" s="198"/>
      <c r="Q211" s="198"/>
      <c r="R211" s="198"/>
      <c r="S211" s="198"/>
    </row>
    <row r="212" spans="1:19" ht="15.75" thickBot="1">
      <c r="A212" s="221"/>
      <c r="B212" s="222"/>
      <c r="C212" s="223" t="s">
        <v>60</v>
      </c>
      <c r="D212" s="223"/>
      <c r="E212" s="225"/>
      <c r="F212" s="225"/>
      <c r="G212" s="225"/>
      <c r="H212" s="226"/>
      <c r="I212" s="226"/>
      <c r="J212" s="226"/>
      <c r="K212" s="226"/>
      <c r="L212" s="226"/>
      <c r="M212" s="227">
        <f>M211+M210</f>
        <v>0</v>
      </c>
      <c r="N212" s="198"/>
      <c r="O212" s="198"/>
      <c r="P212" s="198"/>
      <c r="Q212" s="198"/>
      <c r="R212" s="198"/>
      <c r="S212" s="198"/>
    </row>
    <row r="213" spans="1:19" ht="15.75" thickBot="1">
      <c r="A213" s="221"/>
      <c r="B213" s="222"/>
      <c r="C213" s="228" t="s">
        <v>159</v>
      </c>
      <c r="D213" s="229">
        <v>0</v>
      </c>
      <c r="E213" s="225"/>
      <c r="F213" s="225"/>
      <c r="G213" s="225"/>
      <c r="H213" s="226"/>
      <c r="I213" s="226"/>
      <c r="J213" s="226"/>
      <c r="K213" s="226"/>
      <c r="L213" s="226"/>
      <c r="M213" s="227">
        <f>M212*D213</f>
        <v>0</v>
      </c>
      <c r="N213" s="198"/>
      <c r="O213" s="198"/>
      <c r="P213" s="198"/>
      <c r="Q213" s="198"/>
      <c r="R213" s="198"/>
      <c r="S213" s="198"/>
    </row>
    <row r="214" spans="1:19" ht="15.75" thickBot="1">
      <c r="A214" s="221"/>
      <c r="B214" s="222"/>
      <c r="C214" s="223" t="s">
        <v>60</v>
      </c>
      <c r="D214" s="223"/>
      <c r="E214" s="225"/>
      <c r="F214" s="225"/>
      <c r="G214" s="225"/>
      <c r="H214" s="226"/>
      <c r="I214" s="226"/>
      <c r="J214" s="226"/>
      <c r="K214" s="226"/>
      <c r="L214" s="226"/>
      <c r="M214" s="227">
        <f>M213+M212</f>
        <v>0</v>
      </c>
      <c r="N214" s="198"/>
      <c r="O214" s="198"/>
      <c r="P214" s="198"/>
      <c r="Q214" s="198"/>
      <c r="R214" s="198"/>
      <c r="S214" s="198"/>
    </row>
    <row r="215" spans="1:19" ht="15.75" thickBot="1">
      <c r="A215" s="221"/>
      <c r="B215" s="222"/>
      <c r="C215" s="223" t="s">
        <v>63</v>
      </c>
      <c r="D215" s="229">
        <v>0.18</v>
      </c>
      <c r="E215" s="225"/>
      <c r="F215" s="225"/>
      <c r="G215" s="225"/>
      <c r="H215" s="226"/>
      <c r="I215" s="226"/>
      <c r="J215" s="226"/>
      <c r="K215" s="226"/>
      <c r="L215" s="226"/>
      <c r="M215" s="227">
        <f>M214*D215</f>
        <v>0</v>
      </c>
      <c r="N215" s="198"/>
      <c r="O215" s="198"/>
      <c r="P215" s="198"/>
      <c r="Q215" s="198"/>
      <c r="R215" s="198"/>
      <c r="S215" s="198"/>
    </row>
    <row r="216" spans="1:19" ht="15.75" thickBot="1">
      <c r="A216" s="230"/>
      <c r="B216" s="231"/>
      <c r="C216" s="232" t="s">
        <v>60</v>
      </c>
      <c r="D216" s="232"/>
      <c r="E216" s="232"/>
      <c r="F216" s="232"/>
      <c r="G216" s="232"/>
      <c r="H216" s="233"/>
      <c r="I216" s="233"/>
      <c r="J216" s="233"/>
      <c r="K216" s="233"/>
      <c r="L216" s="233"/>
      <c r="M216" s="218">
        <f>M215+M214</f>
        <v>0</v>
      </c>
      <c r="N216" s="198"/>
      <c r="O216" s="198"/>
      <c r="P216" s="198"/>
      <c r="Q216" s="198"/>
      <c r="R216" s="198"/>
      <c r="S216" s="198"/>
    </row>
    <row r="217" spans="1:19" ht="15">
      <c r="A217" s="196"/>
      <c r="B217" s="197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</row>
    <row r="218" spans="1:19" ht="15">
      <c r="A218" s="196"/>
      <c r="B218" s="19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</row>
    <row r="219" spans="1:19" ht="15">
      <c r="A219" s="196"/>
      <c r="B219" s="197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</row>
    <row r="220" spans="1:19" ht="15">
      <c r="A220" s="196"/>
      <c r="B220" s="197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</row>
    <row r="221" spans="1:19" ht="15">
      <c r="A221" s="196"/>
      <c r="B221" s="197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</row>
    <row r="222" spans="1:19" ht="15">
      <c r="A222" s="196"/>
      <c r="B222" s="197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</row>
    <row r="223" spans="1:19" ht="15">
      <c r="A223" s="196"/>
      <c r="B223" s="197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</row>
    <row r="224" spans="1:19" ht="15">
      <c r="A224" s="196"/>
      <c r="B224" s="197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</row>
    <row r="225" spans="1:19" ht="15">
      <c r="A225" s="196"/>
      <c r="B225" s="197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</row>
    <row r="226" spans="1:19" ht="15">
      <c r="A226" s="196"/>
      <c r="B226" s="197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</row>
    <row r="227" spans="1:19" ht="15">
      <c r="A227" s="196"/>
      <c r="B227" s="197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</row>
    <row r="228" spans="1:19" ht="15">
      <c r="A228" s="196"/>
      <c r="B228" s="197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</row>
    <row r="229" spans="1:19" ht="15">
      <c r="A229" s="196"/>
      <c r="B229" s="197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</row>
    <row r="230" spans="1:19" ht="15">
      <c r="A230" s="196"/>
      <c r="B230" s="197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</row>
    <row r="231" spans="1:19" ht="15">
      <c r="A231" s="196"/>
      <c r="B231" s="197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</row>
    <row r="232" spans="1:19" ht="15">
      <c r="A232" s="196"/>
      <c r="B232" s="197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</row>
    <row r="233" spans="1:19" ht="15">
      <c r="A233" s="196"/>
      <c r="B233" s="197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</row>
    <row r="234" spans="1:19" ht="15">
      <c r="A234" s="196"/>
      <c r="B234" s="197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</row>
    <row r="235" spans="1:19" ht="15">
      <c r="A235" s="196"/>
      <c r="B235" s="197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</row>
    <row r="236" spans="1:19" ht="15">
      <c r="A236" s="196"/>
      <c r="B236" s="197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</row>
    <row r="237" spans="1:19" ht="15">
      <c r="A237" s="196"/>
      <c r="B237" s="197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</row>
    <row r="238" spans="1:19" ht="15">
      <c r="A238" s="196"/>
      <c r="B238" s="197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</row>
    <row r="239" spans="1:19" ht="15">
      <c r="A239" s="196"/>
      <c r="B239" s="197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</row>
    <row r="240" spans="1:19" ht="15">
      <c r="A240" s="196"/>
      <c r="B240" s="197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</row>
    <row r="241" spans="1:19" ht="15">
      <c r="A241" s="196"/>
      <c r="B241" s="197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</row>
    <row r="242" spans="1:19" ht="15">
      <c r="A242" s="196"/>
      <c r="B242" s="197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</row>
    <row r="243" spans="1:19" ht="15">
      <c r="A243" s="196"/>
      <c r="B243" s="197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</row>
    <row r="244" spans="1:19" ht="15">
      <c r="A244" s="196"/>
      <c r="B244" s="197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</row>
    <row r="245" spans="1:19" ht="15">
      <c r="A245" s="196"/>
      <c r="B245" s="197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</row>
    <row r="246" spans="1:19" ht="15">
      <c r="A246" s="196"/>
      <c r="B246" s="197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</row>
    <row r="247" spans="1:19" ht="15">
      <c r="A247" s="196"/>
      <c r="B247" s="197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</row>
    <row r="248" spans="1:19" ht="15">
      <c r="A248" s="196"/>
      <c r="B248" s="197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</row>
    <row r="249" spans="1:19" ht="15">
      <c r="A249" s="196"/>
      <c r="B249" s="197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</row>
    <row r="250" spans="1:19" ht="15">
      <c r="A250" s="196"/>
      <c r="B250" s="197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</row>
    <row r="251" spans="1:19" ht="15">
      <c r="A251" s="196"/>
      <c r="B251" s="197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</row>
    <row r="252" spans="1:19" ht="15">
      <c r="A252" s="196"/>
      <c r="B252" s="197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</row>
    <row r="253" spans="1:19" ht="15">
      <c r="A253" s="196"/>
      <c r="B253" s="197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</row>
    <row r="254" spans="1:19" ht="15">
      <c r="A254" s="196"/>
      <c r="B254" s="197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</row>
    <row r="255" spans="1:19" ht="15">
      <c r="A255" s="196"/>
      <c r="B255" s="197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</row>
    <row r="256" spans="1:19" ht="15">
      <c r="A256" s="196"/>
      <c r="B256" s="197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</row>
    <row r="257" spans="1:19" ht="15">
      <c r="A257" s="196"/>
      <c r="B257" s="197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</row>
    <row r="258" spans="1:19" ht="15">
      <c r="A258" s="196"/>
      <c r="B258" s="197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</row>
    <row r="259" spans="1:19" ht="15">
      <c r="A259" s="196"/>
      <c r="B259" s="197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</row>
    <row r="260" spans="1:19" ht="15">
      <c r="A260" s="196"/>
      <c r="B260" s="197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</row>
    <row r="261" spans="1:19" ht="15">
      <c r="A261" s="196"/>
      <c r="B261" s="197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</row>
    <row r="262" spans="1:19" ht="15">
      <c r="A262" s="196"/>
      <c r="B262" s="197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</row>
    <row r="263" spans="1:19" ht="15">
      <c r="A263" s="196"/>
      <c r="B263" s="197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</row>
    <row r="264" spans="1:19" ht="15">
      <c r="A264" s="196"/>
      <c r="B264" s="197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</row>
    <row r="265" spans="1:19" ht="15">
      <c r="A265" s="196"/>
      <c r="B265" s="197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</row>
  </sheetData>
  <autoFilter ref="A6:M6" xr:uid="{77135569-7CFB-46A3-9F22-20718AF026A2}"/>
  <mergeCells count="8">
    <mergeCell ref="K4:L4"/>
    <mergeCell ref="M4:M5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კრებსითი</vt:lpstr>
      <vt:lpstr>სამშენებლო სამუშაოები</vt:lpstr>
      <vt:lpstr>კანალიზაცია</vt:lpstr>
      <vt:lpstr>შიდა წყალსადენი</vt:lpstr>
      <vt:lpstr>ელ.სამუშაოები</vt:lpstr>
      <vt:lpstr>სუსტი დენები</vt:lpstr>
      <vt:lpstr>ხანძარქრობა</vt:lpstr>
      <vt:lpstr>გათბობა-გაგრილება</vt:lpstr>
      <vt:lpstr>ვენტილაცია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Giorgi Zakalashvili</cp:lastModifiedBy>
  <dcterms:created xsi:type="dcterms:W3CDTF">2021-09-09T13:44:01Z</dcterms:created>
  <dcterms:modified xsi:type="dcterms:W3CDTF">2022-03-15T12:55:28Z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2022-03-15T12:55:27Z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3874c74c-8e82-49ce-af65-8e791bf644a9</vt:lpwstr>
  </property>
  <property fmtid="{D5CDD505-2E9C-101B-9397-08002B2CF9AE}" pid="8" name="MSIP_Label_80734c74-3ec3-4e8f-91d9-a915579f742b_ContentBits">
    <vt:lpwstr>0</vt:lpwstr>
  </property>
</Properties>
</file>